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05" windowWidth="1894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89" i="1"/>
  <c r="I88"/>
  <c r="I87"/>
  <c r="I86"/>
  <c r="I85"/>
  <c r="H89"/>
  <c r="H88"/>
  <c r="H87"/>
  <c r="H86"/>
  <c r="H85"/>
  <c r="G89"/>
  <c r="G88"/>
  <c r="G87"/>
  <c r="G86"/>
  <c r="G85"/>
  <c r="F89"/>
  <c r="F88"/>
  <c r="F87"/>
  <c r="F86"/>
  <c r="F85"/>
  <c r="E89"/>
  <c r="E88"/>
  <c r="E87"/>
  <c r="E86"/>
  <c r="E85"/>
  <c r="D89"/>
  <c r="D88"/>
  <c r="D87"/>
  <c r="D86"/>
  <c r="D85"/>
  <c r="C89"/>
  <c r="C88"/>
  <c r="C87"/>
  <c r="C86"/>
  <c r="C85"/>
  <c r="N36"/>
  <c r="N34"/>
  <c r="R45"/>
  <c r="N37" s="1"/>
  <c r="R37" s="1"/>
  <c r="S37" s="1"/>
  <c r="R36"/>
  <c r="R34"/>
  <c r="H38"/>
  <c r="I38" s="1"/>
  <c r="H37"/>
  <c r="I37" s="1"/>
  <c r="H36"/>
  <c r="I36" s="1"/>
  <c r="H35"/>
  <c r="I35" s="1"/>
  <c r="H34"/>
  <c r="I34" s="1"/>
  <c r="X38"/>
  <c r="X35"/>
  <c r="X36"/>
  <c r="X37"/>
  <c r="X34"/>
  <c r="Q34"/>
  <c r="Q38"/>
  <c r="Q37"/>
  <c r="Q36"/>
  <c r="Q35"/>
  <c r="G80"/>
  <c r="G79"/>
  <c r="F80"/>
  <c r="F79"/>
  <c r="G78"/>
  <c r="F78"/>
  <c r="G77"/>
  <c r="G76"/>
  <c r="F77"/>
  <c r="F76"/>
  <c r="A80"/>
  <c r="A79"/>
  <c r="A78"/>
  <c r="A77"/>
  <c r="A76"/>
  <c r="X16"/>
  <c r="X13"/>
  <c r="X17"/>
  <c r="X4"/>
  <c r="X18"/>
  <c r="X25"/>
  <c r="H80" s="1"/>
  <c r="X24"/>
  <c r="X5"/>
  <c r="X28"/>
  <c r="H78" s="1"/>
  <c r="X6"/>
  <c r="X26"/>
  <c r="H79" s="1"/>
  <c r="X27"/>
  <c r="X14"/>
  <c r="X11"/>
  <c r="X12"/>
  <c r="X30"/>
  <c r="H77" s="1"/>
  <c r="X29"/>
  <c r="H76" s="1"/>
  <c r="X7"/>
  <c r="X8"/>
  <c r="X9"/>
  <c r="X19"/>
  <c r="X10"/>
  <c r="X20"/>
  <c r="R46"/>
  <c r="N29" s="1"/>
  <c r="R29" s="1"/>
  <c r="H30"/>
  <c r="I30" s="1"/>
  <c r="H29"/>
  <c r="I29" s="1"/>
  <c r="H28"/>
  <c r="I28" s="1"/>
  <c r="H27"/>
  <c r="I27" s="1"/>
  <c r="H26"/>
  <c r="I26" s="1"/>
  <c r="H25"/>
  <c r="I25" s="1"/>
  <c r="H24"/>
  <c r="I24" s="1"/>
  <c r="Q30"/>
  <c r="Q29"/>
  <c r="Q28"/>
  <c r="Q27"/>
  <c r="Q26"/>
  <c r="Q25"/>
  <c r="Q24"/>
  <c r="I43" l="1"/>
  <c r="S34"/>
  <c r="S36"/>
  <c r="N38"/>
  <c r="R38" s="1"/>
  <c r="S38" s="1"/>
  <c r="S29"/>
  <c r="N35"/>
  <c r="R35" s="1"/>
  <c r="S35" s="1"/>
  <c r="I42"/>
  <c r="N24"/>
  <c r="R24" s="1"/>
  <c r="S24" s="1"/>
  <c r="N26"/>
  <c r="R26" s="1"/>
  <c r="S26" s="1"/>
  <c r="N28"/>
  <c r="R28" s="1"/>
  <c r="S28" s="1"/>
  <c r="N30"/>
  <c r="R30" s="1"/>
  <c r="S30" s="1"/>
  <c r="N25"/>
  <c r="R25" s="1"/>
  <c r="S25" s="1"/>
  <c r="N27"/>
  <c r="R27" s="1"/>
  <c r="S27" s="1"/>
  <c r="G70"/>
  <c r="G69"/>
  <c r="F70"/>
  <c r="F69"/>
  <c r="G68"/>
  <c r="F68"/>
  <c r="G67"/>
  <c r="F67"/>
  <c r="G66"/>
  <c r="F66"/>
  <c r="Q20"/>
  <c r="Q19"/>
  <c r="Q18"/>
  <c r="Q17"/>
  <c r="Q16"/>
  <c r="R47"/>
  <c r="N19" s="1"/>
  <c r="H20"/>
  <c r="I20" s="1"/>
  <c r="H19"/>
  <c r="I19" s="1"/>
  <c r="H18"/>
  <c r="I18" s="1"/>
  <c r="H17"/>
  <c r="I17" s="1"/>
  <c r="H16"/>
  <c r="I16" s="1"/>
  <c r="L20"/>
  <c r="L19"/>
  <c r="R19" s="1"/>
  <c r="L18"/>
  <c r="L17"/>
  <c r="L16"/>
  <c r="A62"/>
  <c r="A60"/>
  <c r="A59"/>
  <c r="A61"/>
  <c r="A58"/>
  <c r="A57"/>
  <c r="A56"/>
  <c r="A55"/>
  <c r="A54"/>
  <c r="A53"/>
  <c r="A52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  <c r="Q14"/>
  <c r="Q13"/>
  <c r="Q12"/>
  <c r="Q11"/>
  <c r="Q10"/>
  <c r="Q9"/>
  <c r="Q8"/>
  <c r="Q7"/>
  <c r="Q6"/>
  <c r="Q5"/>
  <c r="Q4"/>
  <c r="M47"/>
  <c r="N14" s="1"/>
  <c r="R14" s="1"/>
  <c r="S14" s="1"/>
  <c r="I40" l="1"/>
  <c r="S43"/>
  <c r="J18"/>
  <c r="J42"/>
  <c r="J43"/>
  <c r="J19"/>
  <c r="J20"/>
  <c r="C66" s="1"/>
  <c r="J17"/>
  <c r="C70" s="1"/>
  <c r="J16"/>
  <c r="C69" s="1"/>
  <c r="C68"/>
  <c r="C67"/>
  <c r="S19"/>
  <c r="R18"/>
  <c r="S18" s="1"/>
  <c r="I41"/>
  <c r="J41" s="1"/>
  <c r="N16"/>
  <c r="R16" s="1"/>
  <c r="S16" s="1"/>
  <c r="N18"/>
  <c r="N20"/>
  <c r="R20" s="1"/>
  <c r="S20" s="1"/>
  <c r="J27"/>
  <c r="J30"/>
  <c r="C77" s="1"/>
  <c r="J26"/>
  <c r="C79" s="1"/>
  <c r="N17"/>
  <c r="R17" s="1"/>
  <c r="S17" s="1"/>
  <c r="J29"/>
  <c r="C76" s="1"/>
  <c r="J25"/>
  <c r="C80" s="1"/>
  <c r="J28"/>
  <c r="C78" s="1"/>
  <c r="J24"/>
  <c r="S42"/>
  <c r="N5"/>
  <c r="R5" s="1"/>
  <c r="S5" s="1"/>
  <c r="N7"/>
  <c r="R7" s="1"/>
  <c r="S7" s="1"/>
  <c r="N9"/>
  <c r="R9" s="1"/>
  <c r="S9" s="1"/>
  <c r="N11"/>
  <c r="R11" s="1"/>
  <c r="S11" s="1"/>
  <c r="N13"/>
  <c r="R13" s="1"/>
  <c r="S13" s="1"/>
  <c r="N4"/>
  <c r="R4" s="1"/>
  <c r="S4" s="1"/>
  <c r="N6"/>
  <c r="R6" s="1"/>
  <c r="S6" s="1"/>
  <c r="N8"/>
  <c r="R8" s="1"/>
  <c r="S8" s="1"/>
  <c r="N10"/>
  <c r="R10" s="1"/>
  <c r="S10" s="1"/>
  <c r="N12"/>
  <c r="R12" s="1"/>
  <c r="S12" s="1"/>
  <c r="J5"/>
  <c r="J7"/>
  <c r="J9"/>
  <c r="C59" s="1"/>
  <c r="J11"/>
  <c r="J13"/>
  <c r="J4"/>
  <c r="J6"/>
  <c r="J8"/>
  <c r="C62" s="1"/>
  <c r="J10"/>
  <c r="J12"/>
  <c r="C60" s="1"/>
  <c r="J14" l="1"/>
  <c r="C61" s="1"/>
  <c r="J40"/>
  <c r="J37"/>
  <c r="J36"/>
  <c r="J35"/>
  <c r="J34"/>
  <c r="J38"/>
  <c r="T20"/>
  <c r="Z20" s="1"/>
  <c r="E66" s="1"/>
  <c r="S40"/>
  <c r="D66"/>
  <c r="T13"/>
  <c r="D57" s="1"/>
  <c r="T30"/>
  <c r="T29"/>
  <c r="T26"/>
  <c r="T25"/>
  <c r="T27"/>
  <c r="Z27" s="1"/>
  <c r="T28"/>
  <c r="T24"/>
  <c r="Z24" s="1"/>
  <c r="T16"/>
  <c r="S41"/>
  <c r="T19"/>
  <c r="T18"/>
  <c r="T14"/>
  <c r="T10"/>
  <c r="D54" s="1"/>
  <c r="T6"/>
  <c r="D52" s="1"/>
  <c r="T11"/>
  <c r="D55" s="1"/>
  <c r="T5"/>
  <c r="D53" s="1"/>
  <c r="T12"/>
  <c r="D60" s="1"/>
  <c r="T8"/>
  <c r="D62" s="1"/>
  <c r="T4"/>
  <c r="D58" s="1"/>
  <c r="T7"/>
  <c r="D56" s="1"/>
  <c r="T9"/>
  <c r="D59" s="1"/>
  <c r="C54"/>
  <c r="Z10"/>
  <c r="E54" s="1"/>
  <c r="C52"/>
  <c r="C57"/>
  <c r="C53"/>
  <c r="C58"/>
  <c r="C55"/>
  <c r="C56"/>
  <c r="Z7"/>
  <c r="E56" s="1"/>
  <c r="Z30" l="1"/>
  <c r="E77" s="1"/>
  <c r="D77"/>
  <c r="Z28"/>
  <c r="E78" s="1"/>
  <c r="D78"/>
  <c r="Z25"/>
  <c r="E80" s="1"/>
  <c r="D80"/>
  <c r="Z29"/>
  <c r="E76" s="1"/>
  <c r="D76"/>
  <c r="T17"/>
  <c r="T37"/>
  <c r="T36"/>
  <c r="T38"/>
  <c r="T34"/>
  <c r="T35"/>
  <c r="Z35" s="1"/>
  <c r="Z4"/>
  <c r="Z38"/>
  <c r="Z37"/>
  <c r="Z26"/>
  <c r="E79" s="1"/>
  <c r="D79"/>
  <c r="Z34"/>
  <c r="Z36"/>
  <c r="Z17"/>
  <c r="E70" s="1"/>
  <c r="D70"/>
  <c r="Z13"/>
  <c r="E57" s="1"/>
  <c r="E58"/>
  <c r="D67"/>
  <c r="Z18"/>
  <c r="E67" s="1"/>
  <c r="Z16"/>
  <c r="D69"/>
  <c r="Z5"/>
  <c r="E53" s="1"/>
  <c r="Z6"/>
  <c r="E52" s="1"/>
  <c r="D68"/>
  <c r="Z19"/>
  <c r="E68" s="1"/>
  <c r="Z42"/>
  <c r="Z11"/>
  <c r="E55" s="1"/>
  <c r="Z9"/>
  <c r="E59" s="1"/>
  <c r="D61"/>
  <c r="Z14"/>
  <c r="E61" s="1"/>
  <c r="Z12"/>
  <c r="E60" s="1"/>
  <c r="Z8"/>
  <c r="E62" s="1"/>
  <c r="E69" l="1"/>
  <c r="Z41"/>
  <c r="Z40"/>
</calcChain>
</file>

<file path=xl/sharedStrings.xml><?xml version="1.0" encoding="utf-8"?>
<sst xmlns="http://schemas.openxmlformats.org/spreadsheetml/2006/main" count="244" uniqueCount="101">
  <si>
    <t>Nov 2016 15-20K proven stallions</t>
  </si>
  <si>
    <t>Congrats</t>
  </si>
  <si>
    <t>GSWs</t>
  </si>
  <si>
    <t>AEI</t>
  </si>
  <si>
    <t>CI</t>
  </si>
  <si>
    <t>First Sam</t>
  </si>
  <si>
    <t>Kantharos</t>
  </si>
  <si>
    <t>2yo</t>
  </si>
  <si>
    <t>Adjtd</t>
  </si>
  <si>
    <t>Looking At Lucky</t>
  </si>
  <si>
    <t>Macho Uno</t>
  </si>
  <si>
    <t>Majesticperfection</t>
  </si>
  <si>
    <t>Midnight Lute</t>
  </si>
  <si>
    <t>Sky Mesa</t>
  </si>
  <si>
    <t>Stormy Atlantic</t>
  </si>
  <si>
    <t>Street Boss</t>
  </si>
  <si>
    <t>Twirling Candy</t>
  </si>
  <si>
    <t>Adjustment factor for 3yos</t>
  </si>
  <si>
    <t>HRAs</t>
  </si>
  <si>
    <t xml:space="preserve"> AWD</t>
  </si>
  <si>
    <t>Racing</t>
  </si>
  <si>
    <t xml:space="preserve">Crops </t>
  </si>
  <si>
    <t>foals</t>
  </si>
  <si>
    <t>Bred</t>
  </si>
  <si>
    <t xml:space="preserve"> </t>
  </si>
  <si>
    <t>3yos</t>
  </si>
  <si>
    <t>2yos</t>
  </si>
  <si>
    <t xml:space="preserve">3yos </t>
  </si>
  <si>
    <t>%GSWs</t>
  </si>
  <si>
    <t>4-yr</t>
  </si>
  <si>
    <t>index</t>
  </si>
  <si>
    <t>Av of</t>
  </si>
  <si>
    <t>two</t>
  </si>
  <si>
    <t>indices</t>
  </si>
  <si>
    <t>Rank</t>
  </si>
  <si>
    <t>Pipeline</t>
  </si>
  <si>
    <t xml:space="preserve"> GSW</t>
  </si>
  <si>
    <t>Index</t>
  </si>
  <si>
    <t>Average</t>
  </si>
  <si>
    <t>foal av</t>
  </si>
  <si>
    <t>Est'd*</t>
  </si>
  <si>
    <t>Wtd**</t>
  </si>
  <si>
    <t>*2017 foals assumed to be 72% of mares bred</t>
  </si>
  <si>
    <t>**In the 4-yr. foal index 2017 foals are weighted by .5 because they will be 2 yos in 2019 and will have less impact than older horses.</t>
  </si>
  <si>
    <t>2 yo GSWs and 2yos themselves</t>
  </si>
  <si>
    <t>are not counted in adjusted HRAs</t>
  </si>
  <si>
    <t>because they only infrequently</t>
  </si>
  <si>
    <t>become GSWs but always increase</t>
  </si>
  <si>
    <t>the denomination in calculating %GSWs</t>
  </si>
  <si>
    <t>3 yos start out on Jan 1 not being counted in adjusted HRAs in the denominator for calculating %GSWs, then begin to count more as each</t>
  </si>
  <si>
    <t>day passes.  After 61 days approx. 1/6 of them are counted in the %GSWs denominator, increasing to all of them by years end.  This probably</t>
  </si>
  <si>
    <t xml:space="preserve">Nevertheless, dropping all 2yos and part of 3 yos from the denominator when calculating a stallion's % GSWs greatly improves the </t>
  </si>
  <si>
    <t>comparability of the % GSWs number.  An extreme example of this occurs this year for Into Mischief, who has more 2 yos than he has</t>
  </si>
  <si>
    <t>Blame</t>
  </si>
  <si>
    <t xml:space="preserve">   15-20K Ave</t>
  </si>
  <si>
    <t xml:space="preserve">     25 K</t>
  </si>
  <si>
    <t>English channel</t>
  </si>
  <si>
    <t>Broken vow</t>
  </si>
  <si>
    <t>Mineshaft</t>
  </si>
  <si>
    <t>Munnings</t>
  </si>
  <si>
    <t>=15-20K adjt factor</t>
  </si>
  <si>
    <t>15-20K Sires</t>
  </si>
  <si>
    <t>4-yr foal</t>
  </si>
  <si>
    <t>(pipeline)</t>
  </si>
  <si>
    <t>38 days remaining in 2016 for 15-20K stallions, so count</t>
  </si>
  <si>
    <t>no. of 3yos for purposes of calculating as below</t>
  </si>
  <si>
    <t>still does not fully adjust for the ability of a stallion to produce GSWs, as (probably) 40% or so of GSWs first appear after their 3 yo year?</t>
  </si>
  <si>
    <t>foals from his other four crops put together.</t>
  </si>
  <si>
    <t>AWD</t>
  </si>
  <si>
    <t>English Channel</t>
  </si>
  <si>
    <t xml:space="preserve">  Index</t>
  </si>
  <si>
    <t xml:space="preserve">  AEI</t>
  </si>
  <si>
    <t>Elusive Quality</t>
  </si>
  <si>
    <t>Flatter</t>
  </si>
  <si>
    <t>Quality Road</t>
  </si>
  <si>
    <t>Tale of the Cat</t>
  </si>
  <si>
    <t>Hard Spun</t>
  </si>
  <si>
    <t>Lemon Drop Kid</t>
  </si>
  <si>
    <t>Street Sense</t>
  </si>
  <si>
    <t xml:space="preserve">    25 K</t>
  </si>
  <si>
    <t>=adjt factor for 30-40K stallions (analyzed 3rd week)</t>
  </si>
  <si>
    <t>=adjt factor for 25K stallions (analyzed 2nd week)</t>
  </si>
  <si>
    <t>% GSWs at (366-38)/366 = 1st wk adjt factor=</t>
  </si>
  <si>
    <t>% $</t>
  </si>
  <si>
    <t>won</t>
  </si>
  <si>
    <t>grass</t>
  </si>
  <si>
    <t xml:space="preserve">% Winners </t>
  </si>
  <si>
    <t xml:space="preserve"> Turf</t>
  </si>
  <si>
    <t>2 yos</t>
  </si>
  <si>
    <t>Ave.</t>
  </si>
  <si>
    <t>City Zip</t>
  </si>
  <si>
    <t>Super Saver</t>
  </si>
  <si>
    <t>MoreThanReady</t>
  </si>
  <si>
    <t>Candy Ride</t>
  </si>
  <si>
    <t>Tiznow</t>
  </si>
  <si>
    <t xml:space="preserve"> 30-45K Ave</t>
  </si>
  <si>
    <t>50-60</t>
  </si>
  <si>
    <t>Avg</t>
  </si>
  <si>
    <t>%2yo</t>
  </si>
  <si>
    <t>winners</t>
  </si>
  <si>
    <t>30-45K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</si>
</sst>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164" fontId="0" fillId="0" borderId="0" xfId="1" applyNumberFormat="1" applyFont="1"/>
    <xf numFmtId="0" fontId="0" fillId="2" borderId="0" xfId="0" applyFill="1"/>
    <xf numFmtId="2" fontId="0" fillId="2" borderId="0" xfId="1" applyNumberFormat="1" applyFont="1" applyFill="1"/>
    <xf numFmtId="2" fontId="0" fillId="3" borderId="0" xfId="0" applyNumberFormat="1" applyFill="1"/>
    <xf numFmtId="2" fontId="2" fillId="3" borderId="0" xfId="0" applyNumberFormat="1" applyFont="1" applyFill="1"/>
    <xf numFmtId="2" fontId="0" fillId="0" borderId="0" xfId="0" applyNumberFormat="1"/>
    <xf numFmtId="0" fontId="0" fillId="4" borderId="0" xfId="0" applyFill="1"/>
    <xf numFmtId="2" fontId="0" fillId="4" borderId="0" xfId="1" applyNumberFormat="1" applyFont="1" applyFill="1"/>
    <xf numFmtId="0" fontId="0" fillId="0" borderId="0" xfId="0" quotePrefix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1" applyNumberFormat="1" applyFont="1"/>
    <xf numFmtId="165" fontId="0" fillId="0" borderId="0" xfId="0" applyNumberFormat="1"/>
    <xf numFmtId="0" fontId="3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topLeftCell="A78" workbookViewId="0">
      <selection activeCell="J86" sqref="J86"/>
    </sheetView>
  </sheetViews>
  <sheetFormatPr defaultRowHeight="15"/>
  <cols>
    <col min="1" max="1" width="6.5703125" customWidth="1"/>
    <col min="2" max="2" width="8.140625" customWidth="1"/>
    <col min="3" max="3" width="7.7109375" customWidth="1"/>
    <col min="4" max="4" width="5.7109375" customWidth="1"/>
    <col min="5" max="6" width="5.85546875" customWidth="1"/>
    <col min="7" max="9" width="5.7109375" customWidth="1"/>
    <col min="10" max="10" width="8" customWidth="1"/>
    <col min="11" max="11" width="5.7109375" customWidth="1"/>
    <col min="12" max="13" width="5.42578125" customWidth="1"/>
    <col min="14" max="14" width="5.5703125" customWidth="1"/>
    <col min="15" max="17" width="5.42578125" customWidth="1"/>
    <col min="18" max="18" width="5.5703125" customWidth="1"/>
    <col min="19" max="19" width="7" customWidth="1"/>
    <col min="20" max="20" width="6.7109375" customWidth="1"/>
    <col min="21" max="21" width="4.140625" customWidth="1"/>
    <col min="22" max="22" width="5.42578125" customWidth="1"/>
    <col min="23" max="24" width="5" customWidth="1"/>
    <col min="25" max="25" width="5.28515625" customWidth="1"/>
    <col min="26" max="26" width="6.85546875" customWidth="1"/>
    <col min="27" max="27" width="3.140625" customWidth="1"/>
    <col min="28" max="28" width="3.7109375" customWidth="1"/>
  </cols>
  <sheetData>
    <row r="1" spans="1:28">
      <c r="A1" t="s">
        <v>0</v>
      </c>
      <c r="G1" t="s">
        <v>23</v>
      </c>
      <c r="H1" t="s">
        <v>40</v>
      </c>
      <c r="I1" t="s">
        <v>41</v>
      </c>
      <c r="J1" t="s">
        <v>62</v>
      </c>
      <c r="K1" t="s">
        <v>18</v>
      </c>
      <c r="L1" t="s">
        <v>26</v>
      </c>
      <c r="M1" t="s">
        <v>27</v>
      </c>
      <c r="N1" t="s">
        <v>8</v>
      </c>
      <c r="O1" t="s">
        <v>2</v>
      </c>
      <c r="P1" t="s">
        <v>7</v>
      </c>
      <c r="Q1" t="s">
        <v>8</v>
      </c>
      <c r="R1" t="s">
        <v>8</v>
      </c>
      <c r="S1" t="s">
        <v>8</v>
      </c>
      <c r="T1" t="s">
        <v>28</v>
      </c>
      <c r="U1" t="s">
        <v>3</v>
      </c>
      <c r="V1" t="s">
        <v>4</v>
      </c>
      <c r="W1" t="s">
        <v>8</v>
      </c>
      <c r="X1" t="s">
        <v>83</v>
      </c>
      <c r="Y1" t="s">
        <v>19</v>
      </c>
      <c r="Z1" t="s">
        <v>31</v>
      </c>
      <c r="AB1" t="s">
        <v>34</v>
      </c>
    </row>
    <row r="2" spans="1:28">
      <c r="C2" t="s">
        <v>21</v>
      </c>
      <c r="D2">
        <v>2014</v>
      </c>
      <c r="E2">
        <v>2015</v>
      </c>
      <c r="F2">
        <v>2016</v>
      </c>
      <c r="G2">
        <v>2016</v>
      </c>
      <c r="H2">
        <v>2017</v>
      </c>
      <c r="I2" t="s">
        <v>29</v>
      </c>
      <c r="J2" t="s">
        <v>63</v>
      </c>
      <c r="L2">
        <v>2016</v>
      </c>
      <c r="M2">
        <v>2016</v>
      </c>
      <c r="N2" t="s">
        <v>25</v>
      </c>
      <c r="P2" t="s">
        <v>2</v>
      </c>
      <c r="Q2" t="s">
        <v>2</v>
      </c>
      <c r="R2" t="s">
        <v>18</v>
      </c>
      <c r="S2" t="s">
        <v>28</v>
      </c>
      <c r="T2" t="s">
        <v>37</v>
      </c>
      <c r="W2" t="s">
        <v>3</v>
      </c>
      <c r="X2" t="s">
        <v>84</v>
      </c>
      <c r="Z2" t="s">
        <v>32</v>
      </c>
    </row>
    <row r="3" spans="1:28">
      <c r="C3" t="s">
        <v>20</v>
      </c>
      <c r="D3" t="s">
        <v>22</v>
      </c>
      <c r="E3" t="s">
        <v>22</v>
      </c>
      <c r="F3" t="s">
        <v>22</v>
      </c>
      <c r="H3" t="s">
        <v>22</v>
      </c>
      <c r="I3" t="s">
        <v>39</v>
      </c>
      <c r="J3" t="s">
        <v>30</v>
      </c>
      <c r="N3">
        <v>2016</v>
      </c>
      <c r="X3" t="s">
        <v>85</v>
      </c>
      <c r="Z3" t="s">
        <v>33</v>
      </c>
    </row>
    <row r="4" spans="1:28">
      <c r="A4" t="s">
        <v>1</v>
      </c>
      <c r="C4">
        <v>7</v>
      </c>
      <c r="D4">
        <v>89</v>
      </c>
      <c r="E4">
        <v>100</v>
      </c>
      <c r="F4">
        <v>86</v>
      </c>
      <c r="G4">
        <v>154</v>
      </c>
      <c r="H4">
        <f>+G4*0.72</f>
        <v>110.88</v>
      </c>
      <c r="I4">
        <f>+(D4+E4+F4+H4/2)/3.5</f>
        <v>94.411428571428573</v>
      </c>
      <c r="J4" s="3">
        <f t="shared" ref="J4:J14" si="0">+I4/I$40</f>
        <v>1.2428163081089212</v>
      </c>
      <c r="K4">
        <v>665</v>
      </c>
      <c r="L4">
        <v>90</v>
      </c>
      <c r="M4">
        <v>111</v>
      </c>
      <c r="N4" s="1">
        <f t="shared" ref="N4:N14" si="1">+M4*$M$47</f>
        <v>99.47540983606558</v>
      </c>
      <c r="O4">
        <v>8</v>
      </c>
      <c r="P4">
        <v>1</v>
      </c>
      <c r="Q4">
        <f>+O4-P4</f>
        <v>7</v>
      </c>
      <c r="R4" s="1">
        <f>+K4-L4-M4+N4</f>
        <v>563.47540983606564</v>
      </c>
      <c r="S4" s="2">
        <f>+Q4/R4</f>
        <v>1.2422902362387989E-2</v>
      </c>
      <c r="T4" s="4">
        <f t="shared" ref="T4:T14" si="2">+S4/S$40</f>
        <v>0.53025965134907016</v>
      </c>
      <c r="U4">
        <v>1.24</v>
      </c>
      <c r="V4">
        <v>1.61</v>
      </c>
      <c r="X4">
        <f>3.678/24.5</f>
        <v>0.15012244897959184</v>
      </c>
      <c r="Y4">
        <v>6.8</v>
      </c>
      <c r="Z4" s="5">
        <f>+AVERAGE(J4+T4)/2</f>
        <v>0.88653797972899562</v>
      </c>
      <c r="AB4">
        <v>7</v>
      </c>
    </row>
    <row r="5" spans="1:28">
      <c r="A5" t="s">
        <v>5</v>
      </c>
      <c r="C5">
        <v>7</v>
      </c>
      <c r="D5">
        <v>85</v>
      </c>
      <c r="E5">
        <v>84</v>
      </c>
      <c r="F5">
        <v>76</v>
      </c>
      <c r="G5">
        <v>108</v>
      </c>
      <c r="H5">
        <f t="shared" ref="H5:H14" si="3">+G5*0.72</f>
        <v>77.759999999999991</v>
      </c>
      <c r="I5">
        <f t="shared" ref="I5:I14" si="4">+(D5+E5+F5+H5/2)/3.5</f>
        <v>81.108571428571423</v>
      </c>
      <c r="J5" s="8">
        <f t="shared" si="0"/>
        <v>1.0676997141567621</v>
      </c>
      <c r="K5">
        <v>414</v>
      </c>
      <c r="L5">
        <v>84</v>
      </c>
      <c r="M5">
        <v>17</v>
      </c>
      <c r="N5" s="1">
        <f t="shared" si="1"/>
        <v>15.234972677595628</v>
      </c>
      <c r="O5">
        <v>12</v>
      </c>
      <c r="P5">
        <v>1</v>
      </c>
      <c r="Q5">
        <f t="shared" ref="Q5:Q20" si="5">+O5-P5</f>
        <v>11</v>
      </c>
      <c r="R5" s="1">
        <f t="shared" ref="R5:R14" si="6">+K5-L5-M5+N5</f>
        <v>328.23497267759564</v>
      </c>
      <c r="S5" s="2">
        <f t="shared" ref="S5:S20" si="7">+Q5/R5</f>
        <v>3.3512577621655819E-2</v>
      </c>
      <c r="T5" s="9">
        <f t="shared" si="2"/>
        <v>1.4304521767207998</v>
      </c>
      <c r="U5">
        <v>1.57</v>
      </c>
      <c r="V5">
        <v>1.94</v>
      </c>
      <c r="X5">
        <f>4.64/21.85</f>
        <v>0.21235697940503429</v>
      </c>
      <c r="Y5">
        <v>6.91</v>
      </c>
      <c r="Z5" s="5">
        <f t="shared" ref="Z5:Z20" si="8">+AVERAGE(J5+T5)/2</f>
        <v>1.249075945438781</v>
      </c>
      <c r="AB5">
        <v>2</v>
      </c>
    </row>
    <row r="6" spans="1:28">
      <c r="A6" t="s">
        <v>6</v>
      </c>
      <c r="C6">
        <v>3</v>
      </c>
      <c r="D6">
        <v>70</v>
      </c>
      <c r="E6">
        <v>53</v>
      </c>
      <c r="F6">
        <v>63</v>
      </c>
      <c r="G6">
        <v>123</v>
      </c>
      <c r="H6">
        <f t="shared" si="3"/>
        <v>88.56</v>
      </c>
      <c r="I6">
        <f t="shared" si="4"/>
        <v>65.794285714285721</v>
      </c>
      <c r="J6" s="3">
        <f t="shared" si="0"/>
        <v>0.86610500977884752</v>
      </c>
      <c r="K6">
        <v>146</v>
      </c>
      <c r="L6">
        <v>72</v>
      </c>
      <c r="M6">
        <v>20</v>
      </c>
      <c r="N6" s="1">
        <f t="shared" si="1"/>
        <v>17.923497267759561</v>
      </c>
      <c r="O6">
        <v>3</v>
      </c>
      <c r="P6">
        <v>0</v>
      </c>
      <c r="Q6">
        <f t="shared" si="5"/>
        <v>3</v>
      </c>
      <c r="R6" s="1">
        <f t="shared" si="6"/>
        <v>71.923497267759558</v>
      </c>
      <c r="S6" s="2">
        <f t="shared" si="7"/>
        <v>4.1710986172314238E-2</v>
      </c>
      <c r="T6" s="4">
        <f t="shared" si="2"/>
        <v>1.7803933686319076</v>
      </c>
      <c r="U6">
        <v>1.88</v>
      </c>
      <c r="V6">
        <v>1.31</v>
      </c>
      <c r="X6">
        <f>531/2364</f>
        <v>0.22461928934010153</v>
      </c>
      <c r="Y6">
        <v>6.23</v>
      </c>
      <c r="Z6" s="5">
        <f t="shared" si="8"/>
        <v>1.3232491892053775</v>
      </c>
      <c r="AB6">
        <v>1</v>
      </c>
    </row>
    <row r="7" spans="1:28">
      <c r="A7" t="s">
        <v>9</v>
      </c>
      <c r="C7">
        <v>3</v>
      </c>
      <c r="D7">
        <v>70</v>
      </c>
      <c r="E7">
        <v>85</v>
      </c>
      <c r="F7">
        <v>75</v>
      </c>
      <c r="G7">
        <v>126</v>
      </c>
      <c r="H7">
        <f t="shared" si="3"/>
        <v>90.72</v>
      </c>
      <c r="I7">
        <f t="shared" si="4"/>
        <v>78.674285714285716</v>
      </c>
      <c r="J7" s="8">
        <f t="shared" si="0"/>
        <v>1.035655182789228</v>
      </c>
      <c r="K7">
        <v>247</v>
      </c>
      <c r="L7">
        <v>69</v>
      </c>
      <c r="M7">
        <v>77</v>
      </c>
      <c r="N7" s="1">
        <f t="shared" si="1"/>
        <v>69.005464480874323</v>
      </c>
      <c r="O7">
        <v>4</v>
      </c>
      <c r="P7">
        <v>0</v>
      </c>
      <c r="Q7">
        <f t="shared" si="5"/>
        <v>4</v>
      </c>
      <c r="R7" s="1">
        <f t="shared" si="6"/>
        <v>170.00546448087431</v>
      </c>
      <c r="S7" s="2">
        <f t="shared" si="7"/>
        <v>2.3528655459483783E-2</v>
      </c>
      <c r="T7" s="9">
        <f t="shared" si="2"/>
        <v>1.0042980518330351</v>
      </c>
      <c r="U7">
        <v>1.48</v>
      </c>
      <c r="V7">
        <v>1.96</v>
      </c>
      <c r="X7">
        <f>910.8/(624.8+4786.5)</f>
        <v>0.16831445308890652</v>
      </c>
      <c r="Y7">
        <v>7.3</v>
      </c>
      <c r="Z7" s="5">
        <f t="shared" si="8"/>
        <v>1.0199766173111315</v>
      </c>
      <c r="AB7">
        <v>5</v>
      </c>
    </row>
    <row r="8" spans="1:28">
      <c r="A8" t="s">
        <v>10</v>
      </c>
      <c r="C8">
        <v>10</v>
      </c>
      <c r="D8">
        <v>62</v>
      </c>
      <c r="E8">
        <v>49</v>
      </c>
      <c r="F8">
        <v>37</v>
      </c>
      <c r="G8">
        <v>86</v>
      </c>
      <c r="H8">
        <f t="shared" si="3"/>
        <v>61.919999999999995</v>
      </c>
      <c r="I8">
        <f t="shared" si="4"/>
        <v>51.131428571428572</v>
      </c>
      <c r="J8" s="3">
        <f t="shared" si="0"/>
        <v>0.67308560252745586</v>
      </c>
      <c r="K8">
        <v>683</v>
      </c>
      <c r="L8">
        <v>59</v>
      </c>
      <c r="M8">
        <v>61</v>
      </c>
      <c r="N8" s="1">
        <f t="shared" si="1"/>
        <v>54.666666666666664</v>
      </c>
      <c r="O8">
        <v>13</v>
      </c>
      <c r="P8">
        <v>0</v>
      </c>
      <c r="Q8">
        <f t="shared" si="5"/>
        <v>13</v>
      </c>
      <c r="R8" s="1">
        <f t="shared" si="6"/>
        <v>617.66666666666663</v>
      </c>
      <c r="S8" s="2">
        <f t="shared" si="7"/>
        <v>2.1046950890447922E-2</v>
      </c>
      <c r="T8" s="4">
        <f t="shared" si="2"/>
        <v>0.89836887673844856</v>
      </c>
      <c r="U8">
        <v>1.63</v>
      </c>
      <c r="V8">
        <v>1.44</v>
      </c>
      <c r="X8">
        <f>6211/41860</f>
        <v>0.14837553750597229</v>
      </c>
      <c r="Y8">
        <v>6.88</v>
      </c>
      <c r="Z8" s="6">
        <f t="shared" si="8"/>
        <v>0.78572723963295221</v>
      </c>
    </row>
    <row r="9" spans="1:28">
      <c r="A9" t="s">
        <v>11</v>
      </c>
      <c r="C9">
        <v>3</v>
      </c>
      <c r="D9">
        <v>86</v>
      </c>
      <c r="E9">
        <v>63</v>
      </c>
      <c r="F9">
        <v>110</v>
      </c>
      <c r="G9">
        <v>77</v>
      </c>
      <c r="H9">
        <f t="shared" si="3"/>
        <v>55.44</v>
      </c>
      <c r="I9">
        <f t="shared" si="4"/>
        <v>81.92</v>
      </c>
      <c r="J9" s="3">
        <f t="shared" si="0"/>
        <v>1.078381224612607</v>
      </c>
      <c r="K9">
        <v>215</v>
      </c>
      <c r="L9">
        <v>90</v>
      </c>
      <c r="M9">
        <v>43</v>
      </c>
      <c r="N9" s="1">
        <f t="shared" si="1"/>
        <v>38.535519125683059</v>
      </c>
      <c r="O9">
        <v>2</v>
      </c>
      <c r="P9">
        <v>0</v>
      </c>
      <c r="Q9">
        <f t="shared" si="5"/>
        <v>2</v>
      </c>
      <c r="R9" s="1">
        <f t="shared" si="6"/>
        <v>120.53551912568307</v>
      </c>
      <c r="S9" s="2">
        <f t="shared" si="7"/>
        <v>1.6592619457793091E-2</v>
      </c>
      <c r="T9" s="4">
        <f t="shared" si="2"/>
        <v>0.70824001928047775</v>
      </c>
      <c r="U9">
        <v>1.55</v>
      </c>
      <c r="V9">
        <v>1.43</v>
      </c>
      <c r="X9">
        <f>576.8/3453</f>
        <v>0.16704315088328989</v>
      </c>
      <c r="Y9">
        <v>6.2</v>
      </c>
      <c r="Z9" s="5">
        <f t="shared" si="8"/>
        <v>0.89331062194654232</v>
      </c>
      <c r="AB9">
        <v>7</v>
      </c>
    </row>
    <row r="10" spans="1:28">
      <c r="A10" t="s">
        <v>12</v>
      </c>
      <c r="C10">
        <v>5</v>
      </c>
      <c r="D10">
        <v>116</v>
      </c>
      <c r="E10">
        <v>128</v>
      </c>
      <c r="F10">
        <v>73</v>
      </c>
      <c r="G10">
        <v>76</v>
      </c>
      <c r="H10">
        <f t="shared" si="3"/>
        <v>54.72</v>
      </c>
      <c r="I10">
        <f t="shared" si="4"/>
        <v>98.388571428571439</v>
      </c>
      <c r="J10" s="8">
        <f t="shared" si="0"/>
        <v>1.2951707537234842</v>
      </c>
      <c r="K10">
        <v>445</v>
      </c>
      <c r="L10">
        <v>111</v>
      </c>
      <c r="M10">
        <v>81</v>
      </c>
      <c r="N10" s="1">
        <f t="shared" si="1"/>
        <v>72.590163934426229</v>
      </c>
      <c r="O10">
        <v>9</v>
      </c>
      <c r="P10">
        <v>0</v>
      </c>
      <c r="Q10">
        <f t="shared" si="5"/>
        <v>9</v>
      </c>
      <c r="R10" s="1">
        <f t="shared" si="6"/>
        <v>325.59016393442624</v>
      </c>
      <c r="S10" s="2">
        <f t="shared" si="7"/>
        <v>2.7642112683147875E-2</v>
      </c>
      <c r="T10" s="9">
        <f t="shared" si="2"/>
        <v>1.1798770211939562</v>
      </c>
      <c r="U10">
        <v>1.55</v>
      </c>
      <c r="V10">
        <v>1.62</v>
      </c>
      <c r="X10">
        <f>1673/13586</f>
        <v>0.12314146915942882</v>
      </c>
      <c r="Y10">
        <v>7.01</v>
      </c>
      <c r="Z10" s="5">
        <f t="shared" si="8"/>
        <v>1.2375238874587202</v>
      </c>
      <c r="AB10">
        <v>3</v>
      </c>
    </row>
    <row r="11" spans="1:28">
      <c r="A11" t="s">
        <v>13</v>
      </c>
      <c r="C11">
        <v>10</v>
      </c>
      <c r="D11">
        <v>65</v>
      </c>
      <c r="E11">
        <v>62</v>
      </c>
      <c r="F11">
        <v>101</v>
      </c>
      <c r="G11">
        <v>104</v>
      </c>
      <c r="H11">
        <f t="shared" si="3"/>
        <v>74.88</v>
      </c>
      <c r="I11">
        <f t="shared" si="4"/>
        <v>75.84</v>
      </c>
      <c r="J11" s="8">
        <f t="shared" si="0"/>
        <v>0.99834511809839011</v>
      </c>
      <c r="K11">
        <v>834</v>
      </c>
      <c r="L11">
        <v>66</v>
      </c>
      <c r="M11">
        <v>89</v>
      </c>
      <c r="N11" s="1">
        <f t="shared" si="1"/>
        <v>79.759562841530055</v>
      </c>
      <c r="O11">
        <v>20</v>
      </c>
      <c r="P11">
        <v>0</v>
      </c>
      <c r="Q11">
        <f t="shared" si="5"/>
        <v>20</v>
      </c>
      <c r="R11" s="1">
        <f t="shared" si="6"/>
        <v>758.75956284153006</v>
      </c>
      <c r="S11" s="2">
        <f t="shared" si="7"/>
        <v>2.6358811116792578E-2</v>
      </c>
      <c r="T11" s="9">
        <f t="shared" si="2"/>
        <v>1.1251005268369265</v>
      </c>
      <c r="U11">
        <v>1.49</v>
      </c>
      <c r="V11">
        <v>1.61</v>
      </c>
      <c r="X11">
        <f>8419/37972</f>
        <v>0.22171600126408933</v>
      </c>
      <c r="Y11">
        <v>6.81</v>
      </c>
      <c r="Z11" s="5">
        <f t="shared" si="8"/>
        <v>1.0617228224676583</v>
      </c>
      <c r="AB11">
        <v>4</v>
      </c>
    </row>
    <row r="12" spans="1:28">
      <c r="A12" t="s">
        <v>14</v>
      </c>
      <c r="C12">
        <v>15</v>
      </c>
      <c r="D12">
        <v>48</v>
      </c>
      <c r="E12">
        <v>65</v>
      </c>
      <c r="F12">
        <v>36</v>
      </c>
      <c r="G12">
        <v>34</v>
      </c>
      <c r="H12">
        <f t="shared" si="3"/>
        <v>24.48</v>
      </c>
      <c r="I12">
        <f t="shared" si="4"/>
        <v>46.068571428571431</v>
      </c>
      <c r="J12" s="3">
        <f t="shared" si="0"/>
        <v>0.60643899503535426</v>
      </c>
      <c r="K12">
        <v>1442</v>
      </c>
      <c r="L12">
        <v>48</v>
      </c>
      <c r="M12">
        <v>59</v>
      </c>
      <c r="N12" s="1">
        <f t="shared" si="1"/>
        <v>52.874316939890711</v>
      </c>
      <c r="O12">
        <v>34</v>
      </c>
      <c r="P12">
        <v>0</v>
      </c>
      <c r="Q12">
        <f t="shared" si="5"/>
        <v>34</v>
      </c>
      <c r="R12" s="1">
        <f t="shared" si="6"/>
        <v>1387.8743169398906</v>
      </c>
      <c r="S12" s="2">
        <f t="shared" si="7"/>
        <v>2.4497895511869001E-2</v>
      </c>
      <c r="T12" s="4">
        <f t="shared" si="2"/>
        <v>1.0456691322181946</v>
      </c>
      <c r="U12">
        <v>1.49</v>
      </c>
      <c r="V12">
        <v>1.48</v>
      </c>
      <c r="X12" s="15">
        <f>29.3/76.4</f>
        <v>0.38350785340314136</v>
      </c>
      <c r="Y12">
        <v>6.61</v>
      </c>
      <c r="Z12" s="6">
        <f t="shared" si="8"/>
        <v>0.82605406362677436</v>
      </c>
    </row>
    <row r="13" spans="1:28">
      <c r="A13" t="s">
        <v>15</v>
      </c>
      <c r="C13">
        <v>5</v>
      </c>
      <c r="D13">
        <v>75</v>
      </c>
      <c r="E13">
        <v>74</v>
      </c>
      <c r="F13">
        <v>78</v>
      </c>
      <c r="G13">
        <v>116</v>
      </c>
      <c r="H13">
        <f t="shared" si="3"/>
        <v>83.52</v>
      </c>
      <c r="I13">
        <f t="shared" si="4"/>
        <v>76.78857142857143</v>
      </c>
      <c r="J13" s="3">
        <f t="shared" si="0"/>
        <v>1.0108319542650819</v>
      </c>
      <c r="K13">
        <v>402</v>
      </c>
      <c r="L13">
        <v>71</v>
      </c>
      <c r="M13">
        <v>78</v>
      </c>
      <c r="N13" s="1">
        <f t="shared" si="1"/>
        <v>69.901639344262293</v>
      </c>
      <c r="O13">
        <v>6</v>
      </c>
      <c r="P13">
        <v>0</v>
      </c>
      <c r="Q13">
        <f t="shared" si="5"/>
        <v>6</v>
      </c>
      <c r="R13" s="1">
        <f t="shared" si="6"/>
        <v>322.90163934426232</v>
      </c>
      <c r="S13" s="2">
        <f t="shared" si="7"/>
        <v>1.858150987460019E-2</v>
      </c>
      <c r="T13" s="4">
        <f t="shared" si="2"/>
        <v>0.79313389578559046</v>
      </c>
      <c r="U13">
        <v>1.52</v>
      </c>
      <c r="V13">
        <v>1.35</v>
      </c>
      <c r="X13" s="15">
        <f>6456/(2837+11811)</f>
        <v>0.44074276351720371</v>
      </c>
      <c r="Y13">
        <v>6.66</v>
      </c>
      <c r="Z13" s="5">
        <f t="shared" si="8"/>
        <v>0.90198292502533617</v>
      </c>
      <c r="AB13">
        <v>6</v>
      </c>
    </row>
    <row r="14" spans="1:28">
      <c r="A14" t="s">
        <v>16</v>
      </c>
      <c r="C14">
        <v>2</v>
      </c>
      <c r="D14">
        <v>58</v>
      </c>
      <c r="E14">
        <v>65</v>
      </c>
      <c r="F14">
        <v>119</v>
      </c>
      <c r="G14">
        <v>159</v>
      </c>
      <c r="H14">
        <f t="shared" si="3"/>
        <v>114.47999999999999</v>
      </c>
      <c r="I14">
        <f t="shared" si="4"/>
        <v>85.497142857142862</v>
      </c>
      <c r="J14" s="3">
        <f t="shared" si="0"/>
        <v>1.1254701369038662</v>
      </c>
      <c r="K14">
        <v>148</v>
      </c>
      <c r="L14">
        <v>54</v>
      </c>
      <c r="M14">
        <v>90</v>
      </c>
      <c r="N14" s="1">
        <f t="shared" si="1"/>
        <v>80.655737704918039</v>
      </c>
      <c r="O14">
        <v>1</v>
      </c>
      <c r="P14">
        <v>0</v>
      </c>
      <c r="Q14">
        <f t="shared" si="5"/>
        <v>1</v>
      </c>
      <c r="R14" s="1">
        <f t="shared" si="6"/>
        <v>84.655737704918039</v>
      </c>
      <c r="S14" s="2">
        <f t="shared" si="7"/>
        <v>1.1812548412083654E-2</v>
      </c>
      <c r="T14" s="4">
        <f t="shared" si="2"/>
        <v>0.50420727941159227</v>
      </c>
      <c r="U14">
        <v>1.68</v>
      </c>
      <c r="V14">
        <v>1.45</v>
      </c>
      <c r="X14">
        <f>189/799</f>
        <v>0.23654568210262827</v>
      </c>
      <c r="Y14">
        <v>6.7</v>
      </c>
      <c r="Z14" s="5">
        <f t="shared" si="8"/>
        <v>0.8148387081577293</v>
      </c>
      <c r="AB14">
        <v>9</v>
      </c>
    </row>
    <row r="15" spans="1:28">
      <c r="J15" s="3"/>
      <c r="N15" s="1"/>
      <c r="R15" s="1"/>
      <c r="S15" s="2"/>
      <c r="T15" s="4"/>
      <c r="Z15" s="5"/>
    </row>
    <row r="16" spans="1:28">
      <c r="A16" t="s">
        <v>53</v>
      </c>
      <c r="C16">
        <v>3</v>
      </c>
      <c r="D16">
        <v>83</v>
      </c>
      <c r="E16">
        <v>81</v>
      </c>
      <c r="F16">
        <v>50</v>
      </c>
      <c r="G16">
        <v>105</v>
      </c>
      <c r="H16">
        <f t="shared" ref="H16:H20" si="9">+G16*0.72</f>
        <v>75.599999999999994</v>
      </c>
      <c r="I16">
        <f t="shared" ref="I16:I20" si="10">+(D16+E16+F16+H16/2)/3.5</f>
        <v>71.94285714285715</v>
      </c>
      <c r="J16" s="3">
        <f t="shared" ref="J16:J20" si="11">+I16/I$40</f>
        <v>0.94704377914848803</v>
      </c>
      <c r="K16">
        <v>235</v>
      </c>
      <c r="L16">
        <f>+D16</f>
        <v>83</v>
      </c>
      <c r="M16">
        <v>78</v>
      </c>
      <c r="N16" s="1">
        <f>+M16*R$47</f>
        <v>71.393442622950815</v>
      </c>
      <c r="O16">
        <v>3</v>
      </c>
      <c r="P16">
        <v>0</v>
      </c>
      <c r="Q16">
        <f t="shared" si="5"/>
        <v>3</v>
      </c>
      <c r="R16" s="1">
        <f t="shared" ref="R16:R20" si="12">+K16-L16-M16+N16</f>
        <v>145.39344262295083</v>
      </c>
      <c r="S16" s="2">
        <f t="shared" si="7"/>
        <v>2.0633667831773592E-2</v>
      </c>
      <c r="T16" s="4">
        <f>+S16/S$40</f>
        <v>0.88072828646345569</v>
      </c>
      <c r="U16">
        <v>1.47</v>
      </c>
      <c r="V16">
        <v>2.27</v>
      </c>
      <c r="X16">
        <f>866/3101</f>
        <v>0.27926475330538536</v>
      </c>
      <c r="Y16">
        <v>7.32</v>
      </c>
      <c r="Z16" s="5">
        <f t="shared" si="8"/>
        <v>0.91388603280597192</v>
      </c>
      <c r="AB16">
        <v>4</v>
      </c>
    </row>
    <row r="17" spans="1:29">
      <c r="A17" t="s">
        <v>57</v>
      </c>
      <c r="C17">
        <v>12</v>
      </c>
      <c r="D17">
        <v>86</v>
      </c>
      <c r="E17">
        <v>73</v>
      </c>
      <c r="F17">
        <v>29</v>
      </c>
      <c r="G17">
        <v>73</v>
      </c>
      <c r="H17">
        <f t="shared" si="9"/>
        <v>52.559999999999995</v>
      </c>
      <c r="I17">
        <f t="shared" si="10"/>
        <v>61.222857142857144</v>
      </c>
      <c r="J17" s="3">
        <f t="shared" si="11"/>
        <v>0.80592748608394749</v>
      </c>
      <c r="K17">
        <v>1093</v>
      </c>
      <c r="L17">
        <f t="shared" ref="L17:L20" si="13">+D17</f>
        <v>86</v>
      </c>
      <c r="M17">
        <v>66</v>
      </c>
      <c r="N17" s="1">
        <f t="shared" ref="N17:N20" si="14">+M17*R$47</f>
        <v>60.409836065573771</v>
      </c>
      <c r="O17">
        <v>22</v>
      </c>
      <c r="P17">
        <v>1</v>
      </c>
      <c r="Q17">
        <f t="shared" si="5"/>
        <v>21</v>
      </c>
      <c r="R17" s="1">
        <f t="shared" si="12"/>
        <v>1001.4098360655738</v>
      </c>
      <c r="S17" s="2">
        <f t="shared" si="7"/>
        <v>2.0970435124251056E-2</v>
      </c>
      <c r="T17" s="4">
        <f t="shared" ref="T17:T20" si="15">+S17/S$40</f>
        <v>0.8951028747750831</v>
      </c>
      <c r="U17">
        <v>1.45</v>
      </c>
      <c r="V17">
        <v>1.49</v>
      </c>
      <c r="X17">
        <f>13.2/53.98</f>
        <v>0.24453501296776584</v>
      </c>
      <c r="Y17">
        <v>7.22</v>
      </c>
      <c r="Z17" s="5">
        <f t="shared" si="8"/>
        <v>0.85051518042951524</v>
      </c>
      <c r="AB17">
        <v>5</v>
      </c>
    </row>
    <row r="18" spans="1:29">
      <c r="A18" t="s">
        <v>56</v>
      </c>
      <c r="C18">
        <v>6</v>
      </c>
      <c r="D18">
        <v>68</v>
      </c>
      <c r="E18">
        <v>70</v>
      </c>
      <c r="F18">
        <v>65</v>
      </c>
      <c r="G18">
        <v>123</v>
      </c>
      <c r="H18">
        <f t="shared" si="9"/>
        <v>88.56</v>
      </c>
      <c r="I18">
        <f t="shared" si="10"/>
        <v>70.651428571428568</v>
      </c>
      <c r="J18" s="3">
        <f t="shared" si="11"/>
        <v>0.9300436287046786</v>
      </c>
      <c r="K18">
        <v>445</v>
      </c>
      <c r="L18">
        <f t="shared" si="13"/>
        <v>68</v>
      </c>
      <c r="M18">
        <v>57</v>
      </c>
      <c r="N18" s="1">
        <f t="shared" si="14"/>
        <v>52.172131147540988</v>
      </c>
      <c r="O18">
        <v>11</v>
      </c>
      <c r="P18">
        <v>0</v>
      </c>
      <c r="Q18">
        <f t="shared" si="5"/>
        <v>11</v>
      </c>
      <c r="R18" s="1">
        <f t="shared" si="12"/>
        <v>372.17213114754099</v>
      </c>
      <c r="S18" s="2">
        <f t="shared" si="7"/>
        <v>2.9556216275740555E-2</v>
      </c>
      <c r="T18" s="4">
        <f t="shared" si="15"/>
        <v>1.2615786939630478</v>
      </c>
      <c r="U18">
        <v>1.6</v>
      </c>
      <c r="V18">
        <v>1.58</v>
      </c>
      <c r="X18">
        <f>14.55/20.81</f>
        <v>0.69918308505526194</v>
      </c>
      <c r="Y18">
        <v>8.06</v>
      </c>
      <c r="Z18" s="5">
        <f t="shared" si="8"/>
        <v>1.0958111613338632</v>
      </c>
      <c r="AB18" s="12">
        <v>2</v>
      </c>
    </row>
    <row r="19" spans="1:29">
      <c r="A19" t="s">
        <v>58</v>
      </c>
      <c r="C19">
        <v>10</v>
      </c>
      <c r="D19">
        <v>92</v>
      </c>
      <c r="E19">
        <v>75</v>
      </c>
      <c r="F19">
        <v>34</v>
      </c>
      <c r="G19">
        <v>132</v>
      </c>
      <c r="H19">
        <f t="shared" si="9"/>
        <v>95.039999999999992</v>
      </c>
      <c r="I19">
        <f t="shared" si="10"/>
        <v>71.005714285714276</v>
      </c>
      <c r="J19" s="3">
        <f t="shared" si="11"/>
        <v>0.93470738679103327</v>
      </c>
      <c r="K19">
        <v>747</v>
      </c>
      <c r="L19">
        <f t="shared" si="13"/>
        <v>92</v>
      </c>
      <c r="M19">
        <v>103</v>
      </c>
      <c r="N19" s="1">
        <f t="shared" si="14"/>
        <v>94.275956284153011</v>
      </c>
      <c r="O19">
        <v>17</v>
      </c>
      <c r="P19">
        <v>1</v>
      </c>
      <c r="Q19">
        <f t="shared" si="5"/>
        <v>16</v>
      </c>
      <c r="R19" s="1">
        <f t="shared" si="12"/>
        <v>646.27595628415304</v>
      </c>
      <c r="S19" s="2">
        <f t="shared" si="7"/>
        <v>2.475722614221031E-2</v>
      </c>
      <c r="T19" s="4">
        <f t="shared" si="15"/>
        <v>1.0567384110080895</v>
      </c>
      <c r="U19">
        <v>1.89</v>
      </c>
      <c r="V19">
        <v>2</v>
      </c>
      <c r="X19">
        <f>3581/39051</f>
        <v>9.1700596655655428E-2</v>
      </c>
      <c r="Y19">
        <v>7.33</v>
      </c>
      <c r="Z19" s="5">
        <f t="shared" si="8"/>
        <v>0.99572289889956145</v>
      </c>
      <c r="AB19">
        <v>3</v>
      </c>
    </row>
    <row r="20" spans="1:29">
      <c r="A20" t="s">
        <v>59</v>
      </c>
      <c r="C20">
        <v>3</v>
      </c>
      <c r="D20">
        <v>53</v>
      </c>
      <c r="E20">
        <v>61</v>
      </c>
      <c r="F20">
        <v>57</v>
      </c>
      <c r="G20">
        <v>182</v>
      </c>
      <c r="H20">
        <f t="shared" si="9"/>
        <v>131.04</v>
      </c>
      <c r="I20">
        <f t="shared" si="10"/>
        <v>67.577142857142846</v>
      </c>
      <c r="J20" s="3">
        <f t="shared" si="11"/>
        <v>0.8895742440198583</v>
      </c>
      <c r="K20">
        <v>218</v>
      </c>
      <c r="L20">
        <f t="shared" si="13"/>
        <v>53</v>
      </c>
      <c r="M20">
        <v>54</v>
      </c>
      <c r="N20" s="1">
        <f t="shared" si="14"/>
        <v>49.42622950819672</v>
      </c>
      <c r="O20">
        <v>6</v>
      </c>
      <c r="P20">
        <v>0</v>
      </c>
      <c r="Q20">
        <f t="shared" si="5"/>
        <v>6</v>
      </c>
      <c r="R20" s="1">
        <f t="shared" si="12"/>
        <v>160.42622950819671</v>
      </c>
      <c r="S20" s="2">
        <f t="shared" si="7"/>
        <v>3.7400367872470877E-2</v>
      </c>
      <c r="T20" s="4">
        <f t="shared" si="15"/>
        <v>1.5963987681676659</v>
      </c>
      <c r="U20">
        <v>1.91</v>
      </c>
      <c r="V20">
        <v>1.28</v>
      </c>
      <c r="X20">
        <f>936.7/5518.5</f>
        <v>0.16973815348373653</v>
      </c>
      <c r="Y20">
        <v>6.43</v>
      </c>
      <c r="Z20" s="5">
        <f t="shared" si="8"/>
        <v>1.2429865060937622</v>
      </c>
      <c r="AB20">
        <v>1</v>
      </c>
    </row>
    <row r="21" spans="1:29">
      <c r="A21" t="s">
        <v>0</v>
      </c>
      <c r="G21" t="s">
        <v>23</v>
      </c>
      <c r="H21" t="s">
        <v>40</v>
      </c>
      <c r="I21" t="s">
        <v>41</v>
      </c>
      <c r="J21" t="s">
        <v>62</v>
      </c>
      <c r="K21" t="s">
        <v>18</v>
      </c>
      <c r="L21" t="s">
        <v>26</v>
      </c>
      <c r="M21" t="s">
        <v>27</v>
      </c>
      <c r="N21" t="s">
        <v>8</v>
      </c>
      <c r="O21" t="s">
        <v>2</v>
      </c>
      <c r="P21" t="s">
        <v>7</v>
      </c>
      <c r="Q21" t="s">
        <v>8</v>
      </c>
      <c r="R21" t="s">
        <v>8</v>
      </c>
      <c r="S21" t="s">
        <v>8</v>
      </c>
      <c r="T21" t="s">
        <v>28</v>
      </c>
      <c r="U21" t="s">
        <v>3</v>
      </c>
      <c r="V21" t="s">
        <v>4</v>
      </c>
      <c r="W21" t="s">
        <v>8</v>
      </c>
      <c r="Y21" t="s">
        <v>19</v>
      </c>
      <c r="Z21" t="s">
        <v>31</v>
      </c>
      <c r="AB21" t="s">
        <v>34</v>
      </c>
    </row>
    <row r="22" spans="1:29">
      <c r="C22" t="s">
        <v>21</v>
      </c>
      <c r="D22">
        <v>2014</v>
      </c>
      <c r="E22">
        <v>2015</v>
      </c>
      <c r="F22">
        <v>2016</v>
      </c>
      <c r="G22">
        <v>2016</v>
      </c>
      <c r="H22">
        <v>2017</v>
      </c>
      <c r="I22" t="s">
        <v>29</v>
      </c>
      <c r="J22" t="s">
        <v>63</v>
      </c>
      <c r="L22">
        <v>2016</v>
      </c>
      <c r="M22">
        <v>2016</v>
      </c>
      <c r="N22" t="s">
        <v>25</v>
      </c>
      <c r="P22" t="s">
        <v>2</v>
      </c>
      <c r="Q22" t="s">
        <v>2</v>
      </c>
      <c r="R22" t="s">
        <v>18</v>
      </c>
      <c r="S22" t="s">
        <v>28</v>
      </c>
      <c r="T22" t="s">
        <v>37</v>
      </c>
      <c r="W22" t="s">
        <v>3</v>
      </c>
      <c r="Z22" t="s">
        <v>32</v>
      </c>
    </row>
    <row r="23" spans="1:29">
      <c r="C23" t="s">
        <v>20</v>
      </c>
      <c r="D23" t="s">
        <v>22</v>
      </c>
      <c r="E23" t="s">
        <v>22</v>
      </c>
      <c r="F23" t="s">
        <v>22</v>
      </c>
      <c r="H23" t="s">
        <v>22</v>
      </c>
      <c r="I23" t="s">
        <v>39</v>
      </c>
      <c r="J23" t="s">
        <v>30</v>
      </c>
      <c r="N23">
        <v>2016</v>
      </c>
      <c r="Z23" t="s">
        <v>33</v>
      </c>
    </row>
    <row r="24" spans="1:29">
      <c r="A24" t="s">
        <v>72</v>
      </c>
      <c r="C24">
        <v>15</v>
      </c>
      <c r="D24">
        <v>84</v>
      </c>
      <c r="E24">
        <v>54</v>
      </c>
      <c r="F24">
        <v>28</v>
      </c>
      <c r="G24">
        <v>55</v>
      </c>
      <c r="H24">
        <f t="shared" ref="H24:H30" si="16">+G24*0.72</f>
        <v>39.6</v>
      </c>
      <c r="I24">
        <f t="shared" ref="I24:I30" si="17">+(D24+E24+F24+H24/2)/3.5</f>
        <v>53.085714285714289</v>
      </c>
      <c r="J24" s="3">
        <f t="shared" ref="J24:J30" si="18">+I24/I$40</f>
        <v>0.69881149390702568</v>
      </c>
      <c r="K24">
        <v>1486</v>
      </c>
      <c r="L24">
        <v>84</v>
      </c>
      <c r="M24">
        <v>66</v>
      </c>
      <c r="N24" s="1">
        <f t="shared" ref="N24:N29" si="19">+M24*R$46</f>
        <v>61.672131147540988</v>
      </c>
      <c r="O24">
        <v>29</v>
      </c>
      <c r="P24">
        <v>0</v>
      </c>
      <c r="Q24">
        <f t="shared" ref="Q24:Q30" si="20">+O24-P24</f>
        <v>29</v>
      </c>
      <c r="R24" s="1">
        <f t="shared" ref="R24:R30" si="21">+K24-L24-M24+N24</f>
        <v>1397.672131147541</v>
      </c>
      <c r="S24" s="2">
        <f t="shared" ref="S24:S30" si="22">+Q24/R24</f>
        <v>2.0748786037673883E-2</v>
      </c>
      <c r="T24" s="4">
        <f t="shared" ref="T24:T30" si="23">+S24/S$40</f>
        <v>0.88564199647613628</v>
      </c>
      <c r="U24">
        <v>1.57</v>
      </c>
      <c r="V24">
        <v>1.9</v>
      </c>
      <c r="X24" s="15">
        <f>48.1/(23+85.2)</f>
        <v>0.44454713493530501</v>
      </c>
      <c r="Y24">
        <v>6.95</v>
      </c>
      <c r="Z24" s="5">
        <f t="shared" ref="Z24:Z30" si="24">+AVERAGE(J24+T24)/2</f>
        <v>0.79222674519158098</v>
      </c>
      <c r="AB24">
        <v>6</v>
      </c>
    </row>
    <row r="25" spans="1:29">
      <c r="A25" t="s">
        <v>73</v>
      </c>
      <c r="C25">
        <v>10</v>
      </c>
      <c r="D25">
        <v>77</v>
      </c>
      <c r="E25">
        <v>68</v>
      </c>
      <c r="F25">
        <v>54</v>
      </c>
      <c r="G25">
        <v>96</v>
      </c>
      <c r="H25">
        <f t="shared" si="16"/>
        <v>69.12</v>
      </c>
      <c r="I25">
        <f t="shared" si="17"/>
        <v>66.731428571428566</v>
      </c>
      <c r="J25" s="3">
        <f t="shared" si="18"/>
        <v>0.87844140213630184</v>
      </c>
      <c r="K25">
        <v>732</v>
      </c>
      <c r="L25">
        <v>77</v>
      </c>
      <c r="M25">
        <v>100</v>
      </c>
      <c r="N25" s="1">
        <f t="shared" si="19"/>
        <v>93.442622950819683</v>
      </c>
      <c r="O25">
        <v>12</v>
      </c>
      <c r="P25">
        <v>0</v>
      </c>
      <c r="Q25">
        <f t="shared" si="20"/>
        <v>12</v>
      </c>
      <c r="R25" s="1">
        <f t="shared" si="21"/>
        <v>648.44262295081967</v>
      </c>
      <c r="S25" s="2">
        <f t="shared" si="22"/>
        <v>1.8505877891543419E-2</v>
      </c>
      <c r="T25" s="4">
        <f t="shared" si="23"/>
        <v>0.7899056172564165</v>
      </c>
      <c r="U25">
        <v>1.61</v>
      </c>
      <c r="V25">
        <v>1.28</v>
      </c>
      <c r="X25">
        <f>2.3/37.6</f>
        <v>6.1170212765957438E-2</v>
      </c>
      <c r="Y25">
        <v>6.97</v>
      </c>
      <c r="Z25" s="5">
        <f t="shared" si="24"/>
        <v>0.83417350969635917</v>
      </c>
      <c r="AB25">
        <v>5</v>
      </c>
    </row>
    <row r="26" spans="1:29">
      <c r="A26" t="s">
        <v>74</v>
      </c>
      <c r="C26">
        <v>3</v>
      </c>
      <c r="D26">
        <v>99</v>
      </c>
      <c r="E26">
        <v>78</v>
      </c>
      <c r="F26">
        <v>87</v>
      </c>
      <c r="G26">
        <v>112</v>
      </c>
      <c r="H26">
        <f t="shared" si="16"/>
        <v>80.64</v>
      </c>
      <c r="I26">
        <f t="shared" si="17"/>
        <v>86.948571428571427</v>
      </c>
      <c r="J26" s="3">
        <f t="shared" si="18"/>
        <v>1.144576500676997</v>
      </c>
      <c r="K26">
        <v>277</v>
      </c>
      <c r="L26">
        <v>99</v>
      </c>
      <c r="M26">
        <v>67</v>
      </c>
      <c r="N26" s="1">
        <f t="shared" si="19"/>
        <v>62.606557377049185</v>
      </c>
      <c r="O26">
        <v>5</v>
      </c>
      <c r="P26">
        <v>1</v>
      </c>
      <c r="Q26">
        <f t="shared" si="20"/>
        <v>4</v>
      </c>
      <c r="R26" s="1">
        <f t="shared" si="21"/>
        <v>173.60655737704917</v>
      </c>
      <c r="S26" s="2">
        <f t="shared" si="22"/>
        <v>2.3040604343720492E-2</v>
      </c>
      <c r="T26" s="4">
        <f t="shared" si="23"/>
        <v>0.98346605887873961</v>
      </c>
      <c r="U26">
        <v>1.66</v>
      </c>
      <c r="V26">
        <v>1.73</v>
      </c>
      <c r="X26" s="15">
        <f>1.39/4.38</f>
        <v>0.31735159817351599</v>
      </c>
      <c r="Y26">
        <v>7.12</v>
      </c>
      <c r="Z26" s="5">
        <f t="shared" si="24"/>
        <v>1.0640212797778683</v>
      </c>
      <c r="AB26">
        <v>4</v>
      </c>
    </row>
    <row r="27" spans="1:29">
      <c r="A27" t="s">
        <v>75</v>
      </c>
      <c r="C27">
        <v>15</v>
      </c>
      <c r="D27">
        <v>52</v>
      </c>
      <c r="E27">
        <v>70</v>
      </c>
      <c r="F27">
        <v>37</v>
      </c>
      <c r="G27">
        <v>83</v>
      </c>
      <c r="H27">
        <f t="shared" si="16"/>
        <v>59.76</v>
      </c>
      <c r="I27">
        <f t="shared" si="17"/>
        <v>53.965714285714284</v>
      </c>
      <c r="J27" s="3">
        <f t="shared" si="18"/>
        <v>0.71039566721829384</v>
      </c>
      <c r="K27">
        <v>1697</v>
      </c>
      <c r="L27">
        <v>52</v>
      </c>
      <c r="M27">
        <v>74</v>
      </c>
      <c r="N27" s="1">
        <f t="shared" si="19"/>
        <v>69.147540983606561</v>
      </c>
      <c r="O27">
        <v>26</v>
      </c>
      <c r="P27">
        <v>0</v>
      </c>
      <c r="Q27">
        <f t="shared" si="20"/>
        <v>26</v>
      </c>
      <c r="R27" s="1">
        <f t="shared" si="21"/>
        <v>1640.1475409836066</v>
      </c>
      <c r="S27" s="2">
        <f t="shared" si="22"/>
        <v>1.5852232406120999E-2</v>
      </c>
      <c r="T27" s="4">
        <f t="shared" si="23"/>
        <v>0.67663730934759991</v>
      </c>
      <c r="U27">
        <v>1.41</v>
      </c>
      <c r="V27">
        <v>1.65</v>
      </c>
      <c r="X27" s="15">
        <f>46.7/(21.4+98.8)</f>
        <v>0.38851913477537442</v>
      </c>
      <c r="Y27">
        <v>6.74</v>
      </c>
      <c r="Z27" s="5">
        <f t="shared" si="24"/>
        <v>0.69351648828294687</v>
      </c>
      <c r="AB27">
        <v>7</v>
      </c>
    </row>
    <row r="28" spans="1:29">
      <c r="A28" t="s">
        <v>76</v>
      </c>
      <c r="C28">
        <v>6</v>
      </c>
      <c r="D28">
        <v>111</v>
      </c>
      <c r="E28">
        <v>40</v>
      </c>
      <c r="F28">
        <v>76</v>
      </c>
      <c r="G28">
        <v>151</v>
      </c>
      <c r="H28">
        <f t="shared" si="16"/>
        <v>108.72</v>
      </c>
      <c r="I28">
        <f t="shared" si="17"/>
        <v>80.388571428571439</v>
      </c>
      <c r="J28" s="3">
        <f t="shared" si="18"/>
        <v>1.0582217541748156</v>
      </c>
      <c r="K28">
        <v>700</v>
      </c>
      <c r="L28">
        <v>111</v>
      </c>
      <c r="M28">
        <v>123</v>
      </c>
      <c r="N28" s="1">
        <f t="shared" si="19"/>
        <v>114.9344262295082</v>
      </c>
      <c r="O28">
        <v>18</v>
      </c>
      <c r="P28">
        <v>0</v>
      </c>
      <c r="Q28">
        <f t="shared" si="20"/>
        <v>18</v>
      </c>
      <c r="R28" s="1">
        <f t="shared" si="21"/>
        <v>580.93442622950818</v>
      </c>
      <c r="S28" s="2">
        <f t="shared" si="22"/>
        <v>3.0984564156108025E-2</v>
      </c>
      <c r="T28" s="4">
        <f t="shared" si="23"/>
        <v>1.3225463508724309</v>
      </c>
      <c r="U28">
        <v>1.51</v>
      </c>
      <c r="V28">
        <v>1.79</v>
      </c>
      <c r="X28" s="15">
        <f>19.48/(7.91+32.66)</f>
        <v>0.4801577520335224</v>
      </c>
      <c r="Y28">
        <v>7.42</v>
      </c>
      <c r="Z28" s="5">
        <f t="shared" si="24"/>
        <v>1.1903840525236231</v>
      </c>
      <c r="AB28">
        <v>3</v>
      </c>
    </row>
    <row r="29" spans="1:29">
      <c r="A29" t="s">
        <v>77</v>
      </c>
      <c r="C29">
        <v>13</v>
      </c>
      <c r="D29">
        <v>101</v>
      </c>
      <c r="E29">
        <v>89</v>
      </c>
      <c r="F29">
        <v>74</v>
      </c>
      <c r="G29">
        <v>113</v>
      </c>
      <c r="H29">
        <f t="shared" si="16"/>
        <v>81.36</v>
      </c>
      <c r="I29">
        <f t="shared" si="17"/>
        <v>87.051428571428573</v>
      </c>
      <c r="J29" s="3">
        <f t="shared" si="18"/>
        <v>1.1459304949601323</v>
      </c>
      <c r="K29">
        <v>1188</v>
      </c>
      <c r="L29">
        <v>101</v>
      </c>
      <c r="M29">
        <v>121</v>
      </c>
      <c r="N29" s="1">
        <f t="shared" si="19"/>
        <v>113.06557377049181</v>
      </c>
      <c r="O29">
        <v>42</v>
      </c>
      <c r="P29">
        <v>0</v>
      </c>
      <c r="Q29">
        <f t="shared" si="20"/>
        <v>42</v>
      </c>
      <c r="R29" s="1">
        <f t="shared" si="21"/>
        <v>1079.0655737704917</v>
      </c>
      <c r="S29" s="2">
        <f t="shared" si="22"/>
        <v>3.8922565060844995E-2</v>
      </c>
      <c r="T29" s="4">
        <f t="shared" si="23"/>
        <v>1.6613722926184076</v>
      </c>
      <c r="U29">
        <v>1.74</v>
      </c>
      <c r="V29">
        <v>1.84</v>
      </c>
      <c r="X29" s="15">
        <f>29.5/64.88</f>
        <v>0.45468557336621457</v>
      </c>
      <c r="Y29">
        <v>8.08</v>
      </c>
      <c r="Z29" s="5">
        <f t="shared" si="24"/>
        <v>1.4036513937892701</v>
      </c>
      <c r="AB29">
        <v>1</v>
      </c>
    </row>
    <row r="30" spans="1:29">
      <c r="A30" t="s">
        <v>78</v>
      </c>
      <c r="C30">
        <v>6</v>
      </c>
      <c r="D30">
        <v>70</v>
      </c>
      <c r="E30">
        <v>96</v>
      </c>
      <c r="F30">
        <v>78</v>
      </c>
      <c r="G30">
        <v>137</v>
      </c>
      <c r="H30">
        <f t="shared" si="16"/>
        <v>98.64</v>
      </c>
      <c r="I30">
        <f t="shared" si="17"/>
        <v>83.805714285714288</v>
      </c>
      <c r="J30" s="3">
        <f t="shared" si="18"/>
        <v>1.1032044531367533</v>
      </c>
      <c r="K30">
        <v>561</v>
      </c>
      <c r="L30">
        <v>70</v>
      </c>
      <c r="M30">
        <v>92</v>
      </c>
      <c r="N30" s="1">
        <f>+M30*R$46</f>
        <v>85.967213114754102</v>
      </c>
      <c r="O30">
        <v>15</v>
      </c>
      <c r="P30">
        <v>0</v>
      </c>
      <c r="Q30">
        <f t="shared" si="20"/>
        <v>15</v>
      </c>
      <c r="R30" s="1">
        <f t="shared" si="21"/>
        <v>484.96721311475409</v>
      </c>
      <c r="S30" s="2">
        <f t="shared" si="22"/>
        <v>3.0929925970996856E-2</v>
      </c>
      <c r="T30" s="4">
        <f t="shared" si="23"/>
        <v>1.3202141724376144</v>
      </c>
      <c r="U30">
        <v>1.56</v>
      </c>
      <c r="V30">
        <v>1.93</v>
      </c>
      <c r="X30" s="15">
        <f>13/(6.89+29.1)</f>
        <v>0.3612114476243401</v>
      </c>
      <c r="Y30">
        <v>7.24</v>
      </c>
      <c r="Z30" s="5">
        <f t="shared" si="24"/>
        <v>1.2117093127871839</v>
      </c>
      <c r="AB30">
        <v>2</v>
      </c>
    </row>
    <row r="31" spans="1:29">
      <c r="G31" t="s">
        <v>23</v>
      </c>
      <c r="H31" t="s">
        <v>40</v>
      </c>
      <c r="I31" t="s">
        <v>41</v>
      </c>
      <c r="J31" t="s">
        <v>62</v>
      </c>
      <c r="K31" t="s">
        <v>18</v>
      </c>
      <c r="L31" t="s">
        <v>26</v>
      </c>
      <c r="M31" t="s">
        <v>27</v>
      </c>
      <c r="N31" t="s">
        <v>8</v>
      </c>
      <c r="O31" t="s">
        <v>2</v>
      </c>
      <c r="P31" t="s">
        <v>7</v>
      </c>
      <c r="Q31" t="s">
        <v>8</v>
      </c>
      <c r="R31" t="s">
        <v>8</v>
      </c>
      <c r="S31" t="s">
        <v>8</v>
      </c>
      <c r="T31" t="s">
        <v>28</v>
      </c>
      <c r="U31" t="s">
        <v>3</v>
      </c>
      <c r="V31" t="s">
        <v>4</v>
      </c>
      <c r="W31" t="s">
        <v>8</v>
      </c>
      <c r="Y31" t="s">
        <v>19</v>
      </c>
      <c r="Z31" t="s">
        <v>31</v>
      </c>
      <c r="AB31" t="s">
        <v>34</v>
      </c>
    </row>
    <row r="32" spans="1:29">
      <c r="C32" t="s">
        <v>21</v>
      </c>
      <c r="D32">
        <v>2014</v>
      </c>
      <c r="E32">
        <v>2015</v>
      </c>
      <c r="F32">
        <v>2016</v>
      </c>
      <c r="G32">
        <v>2016</v>
      </c>
      <c r="H32">
        <v>2017</v>
      </c>
      <c r="I32" t="s">
        <v>29</v>
      </c>
      <c r="J32" t="s">
        <v>63</v>
      </c>
      <c r="L32">
        <v>2016</v>
      </c>
      <c r="M32">
        <v>2016</v>
      </c>
      <c r="N32" t="s">
        <v>25</v>
      </c>
      <c r="P32" t="s">
        <v>2</v>
      </c>
      <c r="Q32" t="s">
        <v>2</v>
      </c>
      <c r="R32" t="s">
        <v>18</v>
      </c>
      <c r="S32" t="s">
        <v>28</v>
      </c>
      <c r="T32" t="s">
        <v>37</v>
      </c>
      <c r="W32" t="s">
        <v>3</v>
      </c>
      <c r="Z32" t="s">
        <v>32</v>
      </c>
      <c r="AC32" t="s">
        <v>98</v>
      </c>
    </row>
    <row r="33" spans="1:29">
      <c r="C33" t="s">
        <v>20</v>
      </c>
      <c r="D33" t="s">
        <v>22</v>
      </c>
      <c r="E33" t="s">
        <v>22</v>
      </c>
      <c r="F33" t="s">
        <v>22</v>
      </c>
      <c r="H33" t="s">
        <v>22</v>
      </c>
      <c r="I33" t="s">
        <v>39</v>
      </c>
      <c r="J33" t="s">
        <v>30</v>
      </c>
      <c r="N33">
        <v>2016</v>
      </c>
      <c r="Z33" t="s">
        <v>33</v>
      </c>
      <c r="AC33" t="s">
        <v>99</v>
      </c>
    </row>
    <row r="34" spans="1:29">
      <c r="A34" t="s">
        <v>90</v>
      </c>
      <c r="C34">
        <v>12</v>
      </c>
      <c r="D34">
        <v>95</v>
      </c>
      <c r="E34">
        <v>81</v>
      </c>
      <c r="F34">
        <v>53</v>
      </c>
      <c r="G34">
        <v>129</v>
      </c>
      <c r="H34">
        <f t="shared" ref="H34:H38" si="25">+G34*0.72</f>
        <v>92.88</v>
      </c>
      <c r="I34">
        <f t="shared" ref="I34:I38" si="26">+(D34+E34+F34+H34/2)/3.5</f>
        <v>78.69714285714285</v>
      </c>
      <c r="J34" s="3">
        <f t="shared" ref="J34:J37" si="27">+I34/I$40</f>
        <v>1.0359560704077024</v>
      </c>
      <c r="K34">
        <v>1039</v>
      </c>
      <c r="L34">
        <v>95</v>
      </c>
      <c r="M34">
        <v>106</v>
      </c>
      <c r="N34" s="1">
        <f>+M34*R$45</f>
        <v>101.36612021857923</v>
      </c>
      <c r="O34">
        <v>26</v>
      </c>
      <c r="P34">
        <v>0</v>
      </c>
      <c r="Q34">
        <f t="shared" ref="Q34:Q38" si="28">+O34-P34</f>
        <v>26</v>
      </c>
      <c r="R34" s="1">
        <f t="shared" ref="R34:R38" si="29">+K34-L34-M34+N34</f>
        <v>939.36612021857923</v>
      </c>
      <c r="S34" s="2">
        <f t="shared" ref="S34:S38" si="30">+Q34/R34</f>
        <v>2.7678239017125839E-2</v>
      </c>
      <c r="T34" s="4">
        <f t="shared" ref="T34:T38" si="31">+S34/S$40</f>
        <v>1.1814190390494352</v>
      </c>
      <c r="U34">
        <v>1.71</v>
      </c>
      <c r="V34">
        <v>1.43</v>
      </c>
      <c r="X34" s="15">
        <f>25.8/73.2</f>
        <v>0.35245901639344263</v>
      </c>
      <c r="Y34">
        <v>6.54</v>
      </c>
      <c r="Z34" s="5">
        <f t="shared" ref="Z34:Z38" si="32">+AVERAGE(J34+T34)/2</f>
        <v>1.1086875547285688</v>
      </c>
      <c r="AB34">
        <v>5</v>
      </c>
      <c r="AC34">
        <v>0.21</v>
      </c>
    </row>
    <row r="35" spans="1:29">
      <c r="A35" t="s">
        <v>91</v>
      </c>
      <c r="C35">
        <v>3</v>
      </c>
      <c r="D35">
        <v>67</v>
      </c>
      <c r="E35">
        <v>109</v>
      </c>
      <c r="F35">
        <v>100</v>
      </c>
      <c r="G35">
        <v>154</v>
      </c>
      <c r="H35">
        <f t="shared" si="25"/>
        <v>110.88</v>
      </c>
      <c r="I35">
        <f t="shared" si="26"/>
        <v>94.69714285714285</v>
      </c>
      <c r="J35" s="3">
        <f t="shared" si="27"/>
        <v>1.2465774033398522</v>
      </c>
      <c r="K35">
        <v>273</v>
      </c>
      <c r="L35">
        <v>67</v>
      </c>
      <c r="M35">
        <v>84</v>
      </c>
      <c r="N35" s="1">
        <f t="shared" ref="N35:N38" si="33">+M35*R$45</f>
        <v>80.327868852459005</v>
      </c>
      <c r="O35">
        <v>6</v>
      </c>
      <c r="P35">
        <v>0</v>
      </c>
      <c r="Q35">
        <f t="shared" si="28"/>
        <v>6</v>
      </c>
      <c r="R35" s="1">
        <f t="shared" si="29"/>
        <v>202.32786885245901</v>
      </c>
      <c r="S35" s="2">
        <f t="shared" si="30"/>
        <v>2.965483714146816E-2</v>
      </c>
      <c r="T35" s="4">
        <f t="shared" si="31"/>
        <v>1.2657882308611876</v>
      </c>
      <c r="U35">
        <v>1.28</v>
      </c>
      <c r="V35">
        <v>1.72</v>
      </c>
      <c r="X35" s="15">
        <f>985/(8970+288)</f>
        <v>0.10639446964787211</v>
      </c>
      <c r="Y35">
        <v>6.89</v>
      </c>
      <c r="Z35" s="5">
        <f t="shared" si="32"/>
        <v>1.25618281710052</v>
      </c>
      <c r="AB35">
        <v>1</v>
      </c>
      <c r="AC35">
        <v>0.14000000000000001</v>
      </c>
    </row>
    <row r="36" spans="1:29">
      <c r="A36" t="s">
        <v>92</v>
      </c>
      <c r="C36">
        <v>13</v>
      </c>
      <c r="D36">
        <v>84</v>
      </c>
      <c r="E36">
        <v>116</v>
      </c>
      <c r="F36">
        <v>81</v>
      </c>
      <c r="G36">
        <v>132</v>
      </c>
      <c r="H36">
        <f t="shared" si="25"/>
        <v>95.039999999999992</v>
      </c>
      <c r="I36">
        <f t="shared" si="26"/>
        <v>93.862857142857138</v>
      </c>
      <c r="J36" s="3">
        <f t="shared" si="27"/>
        <v>1.2355950052655331</v>
      </c>
      <c r="K36">
        <v>1334</v>
      </c>
      <c r="L36">
        <v>84</v>
      </c>
      <c r="M36">
        <v>70</v>
      </c>
      <c r="N36" s="1">
        <f t="shared" si="33"/>
        <v>66.939890710382514</v>
      </c>
      <c r="O36">
        <v>33</v>
      </c>
      <c r="P36">
        <v>2</v>
      </c>
      <c r="Q36">
        <f t="shared" si="28"/>
        <v>31</v>
      </c>
      <c r="R36" s="1">
        <f t="shared" si="29"/>
        <v>1246.9398907103825</v>
      </c>
      <c r="S36" s="2">
        <f t="shared" si="30"/>
        <v>2.486086156273281E-2</v>
      </c>
      <c r="T36" s="4">
        <f t="shared" si="31"/>
        <v>1.0611619893596391</v>
      </c>
      <c r="U36">
        <v>1.64</v>
      </c>
      <c r="V36">
        <v>1.8</v>
      </c>
      <c r="X36" s="15">
        <f>96.8/(62.4+81.2)</f>
        <v>0.6740947075208914</v>
      </c>
      <c r="Y36">
        <v>7.08</v>
      </c>
      <c r="Z36" s="5">
        <f t="shared" si="32"/>
        <v>1.1483784973125861</v>
      </c>
      <c r="AB36">
        <v>4</v>
      </c>
      <c r="AC36">
        <v>0.18</v>
      </c>
    </row>
    <row r="37" spans="1:29">
      <c r="A37" t="s">
        <v>93</v>
      </c>
      <c r="C37">
        <v>9</v>
      </c>
      <c r="D37">
        <v>103</v>
      </c>
      <c r="E37">
        <v>110</v>
      </c>
      <c r="F37">
        <v>86</v>
      </c>
      <c r="G37">
        <v>140</v>
      </c>
      <c r="H37">
        <f t="shared" si="25"/>
        <v>100.8</v>
      </c>
      <c r="I37">
        <f t="shared" si="26"/>
        <v>99.828571428571422</v>
      </c>
      <c r="J37" s="3">
        <f t="shared" si="27"/>
        <v>1.3141266736873773</v>
      </c>
      <c r="K37">
        <v>1015</v>
      </c>
      <c r="L37">
        <v>103</v>
      </c>
      <c r="M37">
        <v>101</v>
      </c>
      <c r="N37" s="1">
        <f t="shared" si="33"/>
        <v>96.584699453551906</v>
      </c>
      <c r="O37">
        <v>26</v>
      </c>
      <c r="P37">
        <v>1</v>
      </c>
      <c r="Q37">
        <f t="shared" si="28"/>
        <v>25</v>
      </c>
      <c r="R37" s="1">
        <f t="shared" si="29"/>
        <v>907.58469945355193</v>
      </c>
      <c r="S37" s="2">
        <f t="shared" si="30"/>
        <v>2.7545638456721738E-2</v>
      </c>
      <c r="T37" s="4">
        <f t="shared" si="31"/>
        <v>1.175759111531897</v>
      </c>
      <c r="U37">
        <v>1.9</v>
      </c>
      <c r="V37">
        <v>1.69</v>
      </c>
      <c r="X37" s="15">
        <f>10.96/(0.89+62.2)</f>
        <v>0.17372008242193693</v>
      </c>
      <c r="Y37">
        <v>7</v>
      </c>
      <c r="Z37" s="5">
        <f t="shared" si="32"/>
        <v>1.2449428926096373</v>
      </c>
      <c r="AB37">
        <v>2</v>
      </c>
      <c r="AC37">
        <v>0.13</v>
      </c>
    </row>
    <row r="38" spans="1:29">
      <c r="A38" t="s">
        <v>94</v>
      </c>
      <c r="C38">
        <v>12</v>
      </c>
      <c r="D38">
        <v>87</v>
      </c>
      <c r="E38">
        <v>96</v>
      </c>
      <c r="F38">
        <v>75</v>
      </c>
      <c r="G38">
        <v>128</v>
      </c>
      <c r="H38">
        <f t="shared" si="25"/>
        <v>92.16</v>
      </c>
      <c r="I38">
        <f t="shared" si="26"/>
        <v>86.88</v>
      </c>
      <c r="J38" s="3">
        <f>+I38/I$40</f>
        <v>1.1436738378215734</v>
      </c>
      <c r="K38">
        <v>1199</v>
      </c>
      <c r="L38">
        <v>87</v>
      </c>
      <c r="M38">
        <v>94</v>
      </c>
      <c r="N38" s="1">
        <f t="shared" si="33"/>
        <v>89.89071038251366</v>
      </c>
      <c r="O38">
        <v>35</v>
      </c>
      <c r="P38">
        <v>1</v>
      </c>
      <c r="Q38">
        <f t="shared" si="28"/>
        <v>34</v>
      </c>
      <c r="R38" s="1">
        <f t="shared" si="29"/>
        <v>1107.8907103825136</v>
      </c>
      <c r="S38" s="2">
        <f t="shared" si="30"/>
        <v>3.0688947638401139E-2</v>
      </c>
      <c r="T38" s="4">
        <f t="shared" si="31"/>
        <v>1.3099282438440065</v>
      </c>
      <c r="U38">
        <v>1.68</v>
      </c>
      <c r="V38">
        <v>1.87</v>
      </c>
      <c r="X38" s="15">
        <f>12.5/(71.85)</f>
        <v>0.17397355601948505</v>
      </c>
      <c r="Y38">
        <v>7.66</v>
      </c>
      <c r="Z38" s="5">
        <f t="shared" si="32"/>
        <v>1.2268010408327901</v>
      </c>
      <c r="AB38">
        <v>3</v>
      </c>
      <c r="AC38">
        <v>0.11</v>
      </c>
    </row>
    <row r="39" spans="1:29">
      <c r="J39" s="3"/>
      <c r="N39" s="1"/>
      <c r="R39" s="1"/>
      <c r="S39" s="2"/>
      <c r="T39" s="4"/>
      <c r="X39" s="15"/>
      <c r="Z39" s="5"/>
    </row>
    <row r="40" spans="1:29">
      <c r="G40" t="s">
        <v>54</v>
      </c>
      <c r="H40" t="s">
        <v>97</v>
      </c>
      <c r="I40">
        <f>+AVERAGE(I4:I14)</f>
        <v>75.965714285714299</v>
      </c>
      <c r="J40" s="3">
        <f t="shared" ref="J40:J43" si="34">+I40/I$40</f>
        <v>1</v>
      </c>
      <c r="S40" s="2">
        <f>+AVERAGE(S4:S14)</f>
        <v>2.3427960869325106E-2</v>
      </c>
      <c r="T40" t="s">
        <v>54</v>
      </c>
      <c r="U40" t="s">
        <v>97</v>
      </c>
      <c r="Z40" s="13">
        <f>+AVERAGE(Z4:Z14)</f>
        <v>1</v>
      </c>
    </row>
    <row r="41" spans="1:29">
      <c r="G41" t="s">
        <v>79</v>
      </c>
      <c r="H41" t="s">
        <v>97</v>
      </c>
      <c r="I41">
        <f>+AVERAGE(I16:I20)</f>
        <v>68.48</v>
      </c>
      <c r="J41" s="3">
        <f t="shared" si="34"/>
        <v>0.90145930494960125</v>
      </c>
      <c r="S41" s="11">
        <f>+AVERAGE(S16:S20)</f>
        <v>2.6663582649289273E-2</v>
      </c>
      <c r="T41" t="s">
        <v>55</v>
      </c>
      <c r="U41" t="s">
        <v>97</v>
      </c>
      <c r="Z41" s="7">
        <f>+AVERAGE(Z16:Z20)</f>
        <v>1.019784355912535</v>
      </c>
    </row>
    <row r="42" spans="1:29">
      <c r="G42" t="s">
        <v>95</v>
      </c>
      <c r="H42" t="s">
        <v>97</v>
      </c>
      <c r="I42">
        <f>+AVERAGE(I24:I30)</f>
        <v>73.139591836734695</v>
      </c>
      <c r="J42" s="3">
        <f t="shared" si="34"/>
        <v>0.96279739517290275</v>
      </c>
      <c r="S42" s="11">
        <f>+AVERAGE(S24:S30)</f>
        <v>2.5569222266715524E-2</v>
      </c>
      <c r="T42" t="s">
        <v>100</v>
      </c>
      <c r="U42" t="s">
        <v>97</v>
      </c>
      <c r="Z42" s="7">
        <f>+AVERAGE(Z24:Z30)</f>
        <v>1.0270975402926903</v>
      </c>
    </row>
    <row r="43" spans="1:29">
      <c r="G43" t="s">
        <v>96</v>
      </c>
      <c r="H43" t="s">
        <v>97</v>
      </c>
      <c r="I43">
        <f>+AVERAGE(I34:I38)</f>
        <v>90.793142857142854</v>
      </c>
      <c r="J43" s="3">
        <f t="shared" si="34"/>
        <v>1.1951857981044078</v>
      </c>
      <c r="K43" t="s">
        <v>42</v>
      </c>
      <c r="S43" s="11">
        <f>+AVERAGE(S34:S38)</f>
        <v>2.8085704763289938E-2</v>
      </c>
      <c r="T43" t="s">
        <v>96</v>
      </c>
      <c r="U43" t="s">
        <v>97</v>
      </c>
      <c r="Z43" s="7"/>
    </row>
    <row r="44" spans="1:29">
      <c r="A44" t="s">
        <v>44</v>
      </c>
      <c r="F44" t="s">
        <v>17</v>
      </c>
      <c r="K44" t="s">
        <v>43</v>
      </c>
    </row>
    <row r="45" spans="1:29">
      <c r="A45" t="s">
        <v>45</v>
      </c>
      <c r="G45" t="s">
        <v>64</v>
      </c>
      <c r="R45" s="14">
        <f>+(366-16)/366</f>
        <v>0.95628415300546443</v>
      </c>
      <c r="S45" s="10" t="s">
        <v>80</v>
      </c>
    </row>
    <row r="46" spans="1:29">
      <c r="A46" t="s">
        <v>46</v>
      </c>
      <c r="G46" t="s">
        <v>65</v>
      </c>
      <c r="R46" s="14">
        <f>+(366-24)/366</f>
        <v>0.93442622950819676</v>
      </c>
      <c r="S46" s="10" t="s">
        <v>80</v>
      </c>
    </row>
    <row r="47" spans="1:29">
      <c r="A47" t="s">
        <v>47</v>
      </c>
      <c r="G47" t="s">
        <v>82</v>
      </c>
      <c r="M47" s="14">
        <f>+(366-38)/366</f>
        <v>0.89617486338797814</v>
      </c>
      <c r="N47" s="10" t="s">
        <v>60</v>
      </c>
      <c r="R47" s="14">
        <f>+(366-31)/366</f>
        <v>0.91530054644808745</v>
      </c>
      <c r="S47" s="10" t="s">
        <v>81</v>
      </c>
    </row>
    <row r="48" spans="1:29">
      <c r="A48" t="s">
        <v>48</v>
      </c>
      <c r="G48" t="s">
        <v>49</v>
      </c>
    </row>
    <row r="49" spans="1:13">
      <c r="G49" t="s">
        <v>50</v>
      </c>
    </row>
    <row r="50" spans="1:13">
      <c r="A50" t="s">
        <v>61</v>
      </c>
      <c r="C50" t="s">
        <v>35</v>
      </c>
      <c r="D50" t="s">
        <v>36</v>
      </c>
      <c r="E50" t="s">
        <v>37</v>
      </c>
      <c r="G50" t="s">
        <v>66</v>
      </c>
    </row>
    <row r="51" spans="1:13">
      <c r="C51" t="s">
        <v>37</v>
      </c>
      <c r="D51" t="s">
        <v>37</v>
      </c>
      <c r="E51" t="s">
        <v>38</v>
      </c>
      <c r="G51" t="s">
        <v>51</v>
      </c>
    </row>
    <row r="52" spans="1:13">
      <c r="A52" t="str">
        <f>+A6</f>
        <v>Kantharos</v>
      </c>
      <c r="C52" s="7">
        <f>+J6</f>
        <v>0.86610500977884752</v>
      </c>
      <c r="D52" s="7">
        <f>+T6</f>
        <v>1.7803933686319076</v>
      </c>
      <c r="E52" s="7">
        <f>+Z6</f>
        <v>1.3232491892053775</v>
      </c>
      <c r="G52" t="s">
        <v>52</v>
      </c>
    </row>
    <row r="53" spans="1:13">
      <c r="A53" t="str">
        <f>+A5</f>
        <v>First Sam</v>
      </c>
      <c r="C53" s="7">
        <f>+J5</f>
        <v>1.0676997141567621</v>
      </c>
      <c r="D53" s="7">
        <f>+T5</f>
        <v>1.4304521767207998</v>
      </c>
      <c r="E53" s="7">
        <f>+Z5</f>
        <v>1.249075945438781</v>
      </c>
      <c r="G53" t="s">
        <v>67</v>
      </c>
    </row>
    <row r="54" spans="1:13">
      <c r="A54" t="str">
        <f>+A10</f>
        <v>Midnight Lute</v>
      </c>
      <c r="B54" s="7"/>
      <c r="C54" s="7">
        <f>+J10</f>
        <v>1.2951707537234842</v>
      </c>
      <c r="D54" s="7">
        <f>+T10</f>
        <v>1.1798770211939562</v>
      </c>
      <c r="E54" s="7">
        <f>+Z10</f>
        <v>1.2375238874587202</v>
      </c>
    </row>
    <row r="55" spans="1:13">
      <c r="A55" t="str">
        <f>+A11</f>
        <v>Sky Mesa</v>
      </c>
      <c r="B55" s="7"/>
      <c r="C55" s="7">
        <f>+J11</f>
        <v>0.99834511809839011</v>
      </c>
      <c r="D55" s="7">
        <f>+T11</f>
        <v>1.1251005268369265</v>
      </c>
      <c r="E55" s="7">
        <f>+Z11</f>
        <v>1.0617228224676583</v>
      </c>
    </row>
    <row r="56" spans="1:13">
      <c r="A56" t="str">
        <f>+A7</f>
        <v>Looking At Lucky</v>
      </c>
      <c r="B56" s="7"/>
      <c r="C56" s="7">
        <f>+J7</f>
        <v>1.035655182789228</v>
      </c>
      <c r="D56" s="7">
        <f>+T7</f>
        <v>1.0042980518330351</v>
      </c>
      <c r="E56" s="7">
        <f>+Z7</f>
        <v>1.0199766173111315</v>
      </c>
      <c r="I56" t="s">
        <v>24</v>
      </c>
      <c r="K56" t="s">
        <v>24</v>
      </c>
      <c r="L56" t="s">
        <v>24</v>
      </c>
      <c r="M56" t="s">
        <v>24</v>
      </c>
    </row>
    <row r="57" spans="1:13">
      <c r="A57" t="str">
        <f>+A13</f>
        <v>Street Boss</v>
      </c>
      <c r="B57" s="7"/>
      <c r="C57" s="7">
        <f>+J13</f>
        <v>1.0108319542650819</v>
      </c>
      <c r="D57" s="7">
        <f>+T13</f>
        <v>0.79313389578559046</v>
      </c>
      <c r="E57" s="7">
        <f>+Z13</f>
        <v>0.90198292502533617</v>
      </c>
      <c r="K57" t="s">
        <v>24</v>
      </c>
      <c r="L57" t="s">
        <v>24</v>
      </c>
      <c r="M57" t="s">
        <v>24</v>
      </c>
    </row>
    <row r="58" spans="1:13">
      <c r="A58" t="str">
        <f>+A4</f>
        <v>Congrats</v>
      </c>
      <c r="B58" s="7"/>
      <c r="C58" s="7">
        <f>+J4</f>
        <v>1.2428163081089212</v>
      </c>
      <c r="D58" s="7">
        <f>+T4</f>
        <v>0.53025965134907016</v>
      </c>
      <c r="E58" s="7">
        <f>+Z4</f>
        <v>0.88653797972899562</v>
      </c>
    </row>
    <row r="59" spans="1:13">
      <c r="A59" t="str">
        <f>+A9</f>
        <v>Majesticperfection</v>
      </c>
      <c r="C59" s="7">
        <f>+J9</f>
        <v>1.078381224612607</v>
      </c>
      <c r="D59" s="7">
        <f>+T9</f>
        <v>0.70824001928047775</v>
      </c>
      <c r="E59" s="7">
        <f>+Z9</f>
        <v>0.89331062194654232</v>
      </c>
    </row>
    <row r="60" spans="1:13">
      <c r="A60" t="str">
        <f>+A12</f>
        <v>Stormy Atlantic</v>
      </c>
      <c r="B60" s="7"/>
      <c r="C60" s="7">
        <f>+J12</f>
        <v>0.60643899503535426</v>
      </c>
      <c r="D60" s="7">
        <f>+T12</f>
        <v>1.0456691322181946</v>
      </c>
      <c r="E60" s="7">
        <f>+Z12</f>
        <v>0.82605406362677436</v>
      </c>
    </row>
    <row r="61" spans="1:13">
      <c r="A61" t="str">
        <f>+A14</f>
        <v>Twirling Candy</v>
      </c>
      <c r="B61" s="7"/>
      <c r="C61" s="7">
        <f>+J14</f>
        <v>1.1254701369038662</v>
      </c>
      <c r="D61" s="7">
        <f>+T14</f>
        <v>0.50420727941159227</v>
      </c>
      <c r="E61" s="7">
        <f>+Z14</f>
        <v>0.8148387081577293</v>
      </c>
    </row>
    <row r="62" spans="1:13">
      <c r="A62" t="str">
        <f>+A8</f>
        <v>Macho Uno</v>
      </c>
      <c r="C62" s="7">
        <f>+J8</f>
        <v>0.67308560252745586</v>
      </c>
      <c r="D62" s="7">
        <f>+T8</f>
        <v>0.89836887673844856</v>
      </c>
      <c r="E62" s="7">
        <f>+Z8</f>
        <v>0.78572723963295221</v>
      </c>
    </row>
    <row r="64" spans="1:13">
      <c r="A64" t="s">
        <v>24</v>
      </c>
      <c r="C64" t="s">
        <v>35</v>
      </c>
      <c r="D64" t="s">
        <v>36</v>
      </c>
      <c r="E64" t="s">
        <v>37</v>
      </c>
    </row>
    <row r="65" spans="1:9">
      <c r="C65" t="s">
        <v>70</v>
      </c>
      <c r="D65" t="s">
        <v>37</v>
      </c>
      <c r="E65" t="s">
        <v>38</v>
      </c>
      <c r="F65" t="s">
        <v>71</v>
      </c>
      <c r="G65" t="s">
        <v>68</v>
      </c>
    </row>
    <row r="66" spans="1:9">
      <c r="A66" t="s">
        <v>59</v>
      </c>
      <c r="C66" s="7">
        <f>+J20</f>
        <v>0.8895742440198583</v>
      </c>
      <c r="D66" s="7">
        <f>+T20</f>
        <v>1.5963987681676659</v>
      </c>
      <c r="E66" s="7">
        <f>+Z20</f>
        <v>1.2429865060937622</v>
      </c>
      <c r="F66">
        <f>+U20</f>
        <v>1.91</v>
      </c>
      <c r="G66">
        <f>+Y20</f>
        <v>6.43</v>
      </c>
    </row>
    <row r="67" spans="1:9">
      <c r="A67" t="s">
        <v>69</v>
      </c>
      <c r="C67" s="7">
        <f>+J18</f>
        <v>0.9300436287046786</v>
      </c>
      <c r="D67" s="7">
        <f>+T18</f>
        <v>1.2615786939630478</v>
      </c>
      <c r="E67" s="7">
        <f>+Z18</f>
        <v>1.0958111613338632</v>
      </c>
      <c r="F67">
        <f>+U18</f>
        <v>1.6</v>
      </c>
      <c r="G67">
        <f>+Y18</f>
        <v>8.06</v>
      </c>
    </row>
    <row r="68" spans="1:9">
      <c r="A68" t="s">
        <v>58</v>
      </c>
      <c r="C68" s="7">
        <f>+J19</f>
        <v>0.93470738679103327</v>
      </c>
      <c r="D68" s="7">
        <f>+T19</f>
        <v>1.0567384110080895</v>
      </c>
      <c r="E68" s="7">
        <f>+Z19</f>
        <v>0.99572289889956145</v>
      </c>
      <c r="F68">
        <f>+U19</f>
        <v>1.89</v>
      </c>
      <c r="G68">
        <f>+Y19</f>
        <v>7.33</v>
      </c>
    </row>
    <row r="69" spans="1:9">
      <c r="A69" t="s">
        <v>53</v>
      </c>
      <c r="C69" s="7">
        <f>+J16</f>
        <v>0.94704377914848803</v>
      </c>
      <c r="D69" s="7">
        <f>+T16</f>
        <v>0.88072828646345569</v>
      </c>
      <c r="E69" s="7">
        <f>+Z16</f>
        <v>0.91388603280597192</v>
      </c>
      <c r="F69">
        <f>+U16</f>
        <v>1.47</v>
      </c>
      <c r="G69" s="7">
        <f>+Y16</f>
        <v>7.32</v>
      </c>
    </row>
    <row r="70" spans="1:9">
      <c r="A70" t="s">
        <v>57</v>
      </c>
      <c r="C70" s="7">
        <f>+J17</f>
        <v>0.80592748608394749</v>
      </c>
      <c r="D70" s="7">
        <f>+T17</f>
        <v>0.8951028747750831</v>
      </c>
      <c r="E70" s="7">
        <f>+Z17</f>
        <v>0.85051518042951524</v>
      </c>
      <c r="F70">
        <f>+U17</f>
        <v>1.45</v>
      </c>
      <c r="G70" s="7">
        <f>+Y17</f>
        <v>7.22</v>
      </c>
    </row>
    <row r="74" spans="1:9">
      <c r="C74" t="s">
        <v>35</v>
      </c>
      <c r="D74" t="s">
        <v>36</v>
      </c>
      <c r="E74" t="s">
        <v>37</v>
      </c>
      <c r="H74" t="s">
        <v>86</v>
      </c>
    </row>
    <row r="75" spans="1:9">
      <c r="C75" t="s">
        <v>70</v>
      </c>
      <c r="D75" t="s">
        <v>37</v>
      </c>
      <c r="E75" t="s">
        <v>89</v>
      </c>
      <c r="F75" t="s">
        <v>71</v>
      </c>
      <c r="G75" t="s">
        <v>68</v>
      </c>
      <c r="H75" t="s">
        <v>87</v>
      </c>
      <c r="I75" t="s">
        <v>88</v>
      </c>
    </row>
    <row r="76" spans="1:9">
      <c r="A76" t="str">
        <f>+A29</f>
        <v>Lemon Drop Kid</v>
      </c>
      <c r="C76" s="7">
        <f>+J29</f>
        <v>1.1459304949601323</v>
      </c>
      <c r="D76" s="7">
        <f>+T29</f>
        <v>1.6613722926184076</v>
      </c>
      <c r="E76" s="7">
        <f>+Z29</f>
        <v>1.4036513937892701</v>
      </c>
      <c r="F76">
        <f>+U29</f>
        <v>1.74</v>
      </c>
      <c r="G76">
        <f>+Y29</f>
        <v>8.08</v>
      </c>
      <c r="H76" s="16">
        <f>+X29</f>
        <v>0.45468557336621457</v>
      </c>
      <c r="I76" s="16">
        <v>0.13</v>
      </c>
    </row>
    <row r="77" spans="1:9">
      <c r="A77" t="str">
        <f>+A30</f>
        <v>Street Sense</v>
      </c>
      <c r="C77" s="7">
        <f>+J30</f>
        <v>1.1032044531367533</v>
      </c>
      <c r="D77" s="7">
        <f>+T30</f>
        <v>1.3202141724376144</v>
      </c>
      <c r="E77" s="7">
        <f>+Z30</f>
        <v>1.2117093127871839</v>
      </c>
      <c r="F77">
        <f>+U30</f>
        <v>1.56</v>
      </c>
      <c r="G77">
        <f>+Y30</f>
        <v>7.24</v>
      </c>
      <c r="H77" s="16">
        <f>+X30</f>
        <v>0.3612114476243401</v>
      </c>
      <c r="I77" s="16">
        <v>0.13</v>
      </c>
    </row>
    <row r="78" spans="1:9">
      <c r="A78" t="str">
        <f>+A28</f>
        <v>Hard Spun</v>
      </c>
      <c r="C78" s="7">
        <f>+J28</f>
        <v>1.0582217541748156</v>
      </c>
      <c r="D78" s="7">
        <f>+T28</f>
        <v>1.3225463508724309</v>
      </c>
      <c r="E78" s="7">
        <f>+Z28</f>
        <v>1.1903840525236231</v>
      </c>
      <c r="F78">
        <f>+U28</f>
        <v>1.51</v>
      </c>
      <c r="G78">
        <f>+Y28</f>
        <v>7.42</v>
      </c>
      <c r="H78" s="16">
        <f>+X28</f>
        <v>0.4801577520335224</v>
      </c>
      <c r="I78" s="16">
        <v>0.15</v>
      </c>
    </row>
    <row r="79" spans="1:9">
      <c r="A79" t="str">
        <f>+A26</f>
        <v>Quality Road</v>
      </c>
      <c r="C79" s="7">
        <f>+J26</f>
        <v>1.144576500676997</v>
      </c>
      <c r="D79" s="7">
        <f>+T26</f>
        <v>0.98346605887873961</v>
      </c>
      <c r="E79" s="7">
        <f>+Z26</f>
        <v>1.0640212797778683</v>
      </c>
      <c r="F79">
        <f>+U26</f>
        <v>1.66</v>
      </c>
      <c r="G79">
        <f>+Y26</f>
        <v>7.12</v>
      </c>
      <c r="H79" s="16">
        <f>+X26</f>
        <v>0.31735159817351599</v>
      </c>
      <c r="I79" s="16">
        <v>0.14000000000000001</v>
      </c>
    </row>
    <row r="80" spans="1:9">
      <c r="A80" t="str">
        <f>+A25</f>
        <v>Flatter</v>
      </c>
      <c r="C80" s="7">
        <f>+J25</f>
        <v>0.87844140213630184</v>
      </c>
      <c r="D80" s="7">
        <f>+T25</f>
        <v>0.7899056172564165</v>
      </c>
      <c r="E80" s="7">
        <f>+Z25</f>
        <v>0.83417350969635917</v>
      </c>
      <c r="F80">
        <f>+U25</f>
        <v>1.61</v>
      </c>
      <c r="G80">
        <f>+Y25</f>
        <v>6.97</v>
      </c>
      <c r="H80" s="16">
        <f>+X25</f>
        <v>6.1170212765957438E-2</v>
      </c>
      <c r="I80" s="16">
        <v>0.17</v>
      </c>
    </row>
    <row r="83" spans="1:9">
      <c r="C83" t="s">
        <v>35</v>
      </c>
      <c r="D83" t="s">
        <v>36</v>
      </c>
      <c r="E83" t="s">
        <v>37</v>
      </c>
      <c r="H83" t="s">
        <v>86</v>
      </c>
    </row>
    <row r="84" spans="1:9">
      <c r="C84" t="s">
        <v>70</v>
      </c>
      <c r="D84" t="s">
        <v>37</v>
      </c>
      <c r="E84" t="s">
        <v>89</v>
      </c>
      <c r="F84" t="s">
        <v>71</v>
      </c>
      <c r="G84" t="s">
        <v>68</v>
      </c>
      <c r="H84" t="s">
        <v>87</v>
      </c>
      <c r="I84" t="s">
        <v>88</v>
      </c>
    </row>
    <row r="85" spans="1:9">
      <c r="A85" t="s">
        <v>91</v>
      </c>
      <c r="C85" s="7">
        <f>+J35</f>
        <v>1.2465774033398522</v>
      </c>
      <c r="D85" s="7">
        <f>+T35</f>
        <v>1.2657882308611876</v>
      </c>
      <c r="E85" s="7">
        <f>+Z35</f>
        <v>1.25618281710052</v>
      </c>
      <c r="F85">
        <f>+U35</f>
        <v>1.28</v>
      </c>
      <c r="G85">
        <f>+Y35</f>
        <v>6.89</v>
      </c>
      <c r="H85" s="16">
        <f>+X35</f>
        <v>0.10639446964787211</v>
      </c>
      <c r="I85" s="16">
        <f>+AC37</f>
        <v>0.13</v>
      </c>
    </row>
    <row r="86" spans="1:9">
      <c r="A86" t="s">
        <v>93</v>
      </c>
      <c r="C86" s="7">
        <f>+J37</f>
        <v>1.3141266736873773</v>
      </c>
      <c r="D86" s="7">
        <f>+T37</f>
        <v>1.175759111531897</v>
      </c>
      <c r="E86" s="7">
        <f>+Z37</f>
        <v>1.2449428926096373</v>
      </c>
      <c r="F86">
        <f>+U37</f>
        <v>1.9</v>
      </c>
      <c r="G86">
        <f>+Y37</f>
        <v>7</v>
      </c>
      <c r="H86" s="16">
        <f>+X37</f>
        <v>0.17372008242193693</v>
      </c>
      <c r="I86" s="16">
        <f>+AC38</f>
        <v>0.11</v>
      </c>
    </row>
    <row r="87" spans="1:9">
      <c r="A87" t="s">
        <v>94</v>
      </c>
      <c r="C87" s="7">
        <f>+J38</f>
        <v>1.1436738378215734</v>
      </c>
      <c r="D87" s="7">
        <f>+T38</f>
        <v>1.3099282438440065</v>
      </c>
      <c r="E87" s="7">
        <f>+Z38</f>
        <v>1.2268010408327901</v>
      </c>
      <c r="F87">
        <f>+U38</f>
        <v>1.68</v>
      </c>
      <c r="G87">
        <f>+Y38</f>
        <v>7.66</v>
      </c>
      <c r="H87" s="16">
        <f>+X38</f>
        <v>0.17397355601948505</v>
      </c>
      <c r="I87" s="16">
        <f>+AC38</f>
        <v>0.11</v>
      </c>
    </row>
    <row r="88" spans="1:9">
      <c r="A88" t="s">
        <v>92</v>
      </c>
      <c r="C88" s="7">
        <f>+J36</f>
        <v>1.2355950052655331</v>
      </c>
      <c r="D88" s="7">
        <f>+T36</f>
        <v>1.0611619893596391</v>
      </c>
      <c r="E88" s="7">
        <f>+Z36</f>
        <v>1.1483784973125861</v>
      </c>
      <c r="F88">
        <f>+U36</f>
        <v>1.64</v>
      </c>
      <c r="G88">
        <f>+Y36</f>
        <v>7.08</v>
      </c>
      <c r="H88" s="16">
        <f>+X36</f>
        <v>0.6740947075208914</v>
      </c>
      <c r="I88" s="16">
        <f>+AC36</f>
        <v>0.18</v>
      </c>
    </row>
    <row r="89" spans="1:9">
      <c r="A89" t="s">
        <v>90</v>
      </c>
      <c r="C89" s="7">
        <f>+J34</f>
        <v>1.0359560704077024</v>
      </c>
      <c r="D89" s="7">
        <f>+T34</f>
        <v>1.1814190390494352</v>
      </c>
      <c r="E89" s="7">
        <f>+Z34</f>
        <v>1.1086875547285688</v>
      </c>
      <c r="F89">
        <f>+U34</f>
        <v>1.71</v>
      </c>
      <c r="G89">
        <f>+Y34</f>
        <v>6.54</v>
      </c>
      <c r="H89" s="16">
        <f>+X34</f>
        <v>0.35245901639344263</v>
      </c>
      <c r="I89" s="16">
        <f>+AC34</f>
        <v>0.21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jsmerc01</dc:creator>
  <cp:lastModifiedBy>jsmerc01</cp:lastModifiedBy>
  <cp:lastPrinted>2016-11-25T02:29:03Z</cp:lastPrinted>
  <dcterms:created xsi:type="dcterms:W3CDTF">2016-11-24T18:33:43Z</dcterms:created>
  <dcterms:modified xsi:type="dcterms:W3CDTF">2016-12-17T01:31:39Z</dcterms:modified>
</cp:coreProperties>
</file>